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Мои документы\Жидкова\БЮДЖЕТ 2026\В Совет\КНИГА 4\Нормативы\"/>
    </mc:Choice>
  </mc:AlternateContent>
  <bookViews>
    <workbookView xWindow="0" yWindow="0" windowWidth="23250" windowHeight="12045" tabRatio="949" activeTab="41"/>
  </bookViews>
  <sheets>
    <sheet name="Прилож. нормативы" sheetId="28" r:id="rId1"/>
    <sheet name="питание" sheetId="1" state="hidden" r:id="rId2"/>
    <sheet name="211сады" sheetId="81" r:id="rId3"/>
    <sheet name="211 школа" sheetId="82" r:id="rId4"/>
    <sheet name="211 цд и ют" sheetId="83" r:id="rId5"/>
    <sheet name="211 цд и ют (2)" sheetId="94" state="hidden" r:id="rId6"/>
    <sheet name="211 дюсш" sheetId="84" r:id="rId7"/>
    <sheet name="211 дюсш (2)" sheetId="95" state="hidden" r:id="rId8"/>
    <sheet name="маршрут (212)" sheetId="21" state="hidden" r:id="rId9"/>
    <sheet name="доу 221" sheetId="51" r:id="rId10"/>
    <sheet name="школ 221" sheetId="52" r:id="rId11"/>
    <sheet name="доп.обр 221" sheetId="53" r:id="rId12"/>
    <sheet name="вода (223)" sheetId="30" r:id="rId13"/>
    <sheet name="тепло (223)" sheetId="32" r:id="rId14"/>
    <sheet name="свет (223)" sheetId="43" r:id="rId15"/>
    <sheet name="ТБО (223)" sheetId="20" r:id="rId16"/>
    <sheet name="Аренда помещений (224)" sheetId="63" r:id="rId17"/>
    <sheet name="Аренда контейнера (225)" sheetId="99" r:id="rId18"/>
    <sheet name="дератиз (225)" sheetId="74" r:id="rId19"/>
    <sheet name="ТО здан" sheetId="44" state="hidden" r:id="rId20"/>
    <sheet name="ТО здан (225)" sheetId="76" r:id="rId21"/>
    <sheet name="ТО бассейн (225)" sheetId="73" r:id="rId22"/>
    <sheet name="ТО столов. оборуд. доу (225)" sheetId="65" state="hidden" r:id="rId23"/>
    <sheet name="ТО столов. оборуд. шк. (225)" sheetId="66" state="hidden" r:id="rId24"/>
    <sheet name="ТО АПС (225)" sheetId="67" r:id="rId25"/>
    <sheet name="ТО прач.обор. (225)" sheetId="71" r:id="rId26"/>
    <sheet name="ТО КТС (225)" sheetId="68" r:id="rId27"/>
    <sheet name="ТО узел учета (225)" sheetId="62" state="hidden" r:id="rId28"/>
    <sheet name="ТО комп.техн. (225)" sheetId="69" r:id="rId29"/>
    <sheet name="ТО видеонаблюд (225)" sheetId="50" r:id="rId30"/>
    <sheet name="ТО домофон (225)" sheetId="49" r:id="rId31"/>
    <sheet name="Опиловка  (225)" sheetId="96" r:id="rId32"/>
    <sheet name="РСО доу-внешк (225)" sheetId="58" r:id="rId33"/>
    <sheet name="РСО шк. (225)" sheetId="59" r:id="rId34"/>
    <sheet name="СЭС доу (225)" sheetId="46" r:id="rId35"/>
    <sheet name="СЭС внешк. (225)" sheetId="48" r:id="rId36"/>
    <sheet name="СЭС шк. (225)" sheetId="47" r:id="rId37"/>
    <sheet name="ДЮСШ спорт 226 тренера" sheetId="89" r:id="rId38"/>
    <sheet name="канц.товар (341)" sheetId="100" state="hidden" r:id="rId39"/>
    <sheet name="ДЮСШ спорт 226 спот-ны" sheetId="90" r:id="rId40"/>
    <sheet name="охрана (226 2024г)" sheetId="54" state="hidden" r:id="rId41"/>
    <sheet name="ДЮСШ спорт 226 чл. взносы" sheetId="103" r:id="rId42"/>
    <sheet name="охрана 226 " sheetId="91" r:id="rId43"/>
    <sheet name="мед.осмотры (226)" sheetId="34" r:id="rId44"/>
    <sheet name="подписка ДОУ (226)" sheetId="36" state="hidden" r:id="rId45"/>
    <sheet name="подписка шк (226)" sheetId="38" r:id="rId46"/>
    <sheet name="лицензия (226)" sheetId="101" r:id="rId47"/>
    <sheet name="подписка доп.образ (226)" sheetId="40" r:id="rId48"/>
    <sheet name="архивац. доу(226)" sheetId="60" state="hidden" r:id="rId49"/>
    <sheet name="архивац.шк. (226)" sheetId="61" r:id="rId50"/>
    <sheet name="эл.подпис (226)" sheetId="55" state="hidden" r:id="rId51"/>
    <sheet name="обучение сотр.(226)" sheetId="56" r:id="rId52"/>
    <sheet name="неисключ.права по исп.сай (226)" sheetId="57" state="hidden" r:id="rId53"/>
    <sheet name="питание (226) аутс" sheetId="78" state="hidden" r:id="rId54"/>
    <sheet name="питание (226) аутс26" sheetId="92" r:id="rId55"/>
    <sheet name="питание (226) аутс (льг)" sheetId="79" r:id="rId56"/>
    <sheet name="питание (226) аутс (льг) (25)" sheetId="93" state="hidden" r:id="rId57"/>
    <sheet name="налоги Имущ (290)" sheetId="75" r:id="rId58"/>
    <sheet name="налоги Имущ (по уч.)" sheetId="102" state="hidden" r:id="rId59"/>
    <sheet name="оборудов. шк. (310)" sheetId="25" r:id="rId60"/>
    <sheet name="оборудов. сад образоват.(310)" sheetId="26" r:id="rId61"/>
    <sheet name="оборудов. сад содерж (310)" sheetId="77" r:id="rId62"/>
    <sheet name="оборудов доп. обр. (310)" sheetId="27" r:id="rId63"/>
    <sheet name="питание (340)" sheetId="19" state="hidden" r:id="rId64"/>
    <sheet name="хозы." sheetId="2" state="hidden" r:id="rId65"/>
    <sheet name="посуда сад-шк (340)" sheetId="24" r:id="rId66"/>
    <sheet name="хозы. (340)" sheetId="17" r:id="rId67"/>
    <sheet name="мягкий инвентарь" sheetId="4" state="hidden" r:id="rId68"/>
    <sheet name="мягк.инвент (340)" sheetId="18" r:id="rId69"/>
    <sheet name="свет" sheetId="42" state="hidden" r:id="rId70"/>
    <sheet name="вода" sheetId="29" state="hidden" r:id="rId71"/>
    <sheet name="теплоэнергия" sheetId="31" state="hidden" r:id="rId72"/>
    <sheet name="маршрутный лист" sheetId="6" state="hidden" r:id="rId73"/>
    <sheet name="канц.товары" sheetId="7" state="hidden" r:id="rId74"/>
    <sheet name="канц.товар (340)" sheetId="22" r:id="rId75"/>
    <sheet name="медикаменты" sheetId="16" state="hidden" r:id="rId76"/>
    <sheet name="строит. мат. (340)" sheetId="97" r:id="rId77"/>
    <sheet name="медикамент (340)" sheetId="23" r:id="rId78"/>
    <sheet name="посуда (сады школы)" sheetId="15" state="hidden" r:id="rId79"/>
    <sheet name="оборудование школы" sheetId="11" state="hidden" r:id="rId80"/>
    <sheet name="оборудование сады" sheetId="14" state="hidden" r:id="rId81"/>
    <sheet name="оборудование школы искусств" sheetId="12" state="hidden" r:id="rId82"/>
    <sheet name="оборудование ДЮСШ" sheetId="13" state="hidden" r:id="rId83"/>
    <sheet name="приложение к оборудование РФ" sheetId="8" state="hidden" r:id="rId84"/>
    <sheet name="оборудование ДЮСШ (2)" sheetId="41" state="hidden" r:id="rId85"/>
    <sheet name="мед.осмотры" sheetId="33" state="hidden" r:id="rId86"/>
    <sheet name="подписка сады" sheetId="35" state="hidden" r:id="rId87"/>
    <sheet name="подписка школы" sheetId="37" state="hidden" r:id="rId88"/>
    <sheet name="подписка доп.образование" sheetId="39" state="hidden" r:id="rId89"/>
    <sheet name="зарплата" sheetId="64" state="hidden" r:id="rId90"/>
  </sheets>
  <externalReferences>
    <externalReference r:id="rId91"/>
    <externalReference r:id="rId92"/>
    <externalReference r:id="rId93"/>
    <externalReference r:id="rId94"/>
    <externalReference r:id="rId95"/>
  </externalReferences>
  <definedNames>
    <definedName name="_xlnm._FilterDatabase" localSheetId="6" hidden="1">'211 дюсш'!$A$20:$CB$112</definedName>
    <definedName name="_xlnm._FilterDatabase" localSheetId="4" hidden="1">'211 цд и ют'!$A$9:$W$45</definedName>
    <definedName name="_xlnm._FilterDatabase" localSheetId="0" hidden="1">'Прилож. нормативы'!$B$6:$E$108</definedName>
    <definedName name="_xlnm.Print_Area" localSheetId="17">'Аренда контейнера (225)'!$A$1:$H$22</definedName>
    <definedName name="_xlnm.Print_Area" localSheetId="70">вода!$A$1:$C$26</definedName>
    <definedName name="_xlnm.Print_Area" localSheetId="12">'вода (223)'!$A$1:$M$16</definedName>
    <definedName name="_xlnm.Print_Area" localSheetId="11">'доп.обр 221'!$A$1:$G$22</definedName>
    <definedName name="_xlnm.Print_Area" localSheetId="9">'доу 221'!$A$1:$G$22</definedName>
    <definedName name="_xlnm.Print_Area" localSheetId="39">'ДЮСШ спорт 226 спот-ны'!$A$1:$G$22</definedName>
    <definedName name="_xlnm.Print_Area" localSheetId="37">'ДЮСШ спорт 226 тренера'!$A$1:$G$22</definedName>
    <definedName name="_xlnm.Print_Area" localSheetId="41">'ДЮСШ спорт 226 чл. взносы'!$A$1:$G$22</definedName>
    <definedName name="_xlnm.Print_Area" localSheetId="74">'канц.товар (340)'!$A$1:$H$27</definedName>
    <definedName name="_xlnm.Print_Area" localSheetId="38">'канц.товар (341)'!$A$1:$H$27</definedName>
    <definedName name="_xlnm.Print_Area" localSheetId="73">канц.товары!$A$1:$D$24</definedName>
    <definedName name="_xlnm.Print_Area" localSheetId="8">'маршрут (212)'!$A$1:$J$14</definedName>
    <definedName name="_xlnm.Print_Area" localSheetId="72">'маршрутный лист'!$A$1:$F$23</definedName>
    <definedName name="_xlnm.Print_Area" localSheetId="75">медикаменты!$A$1:$F$25</definedName>
    <definedName name="_xlnm.Print_Area" localSheetId="68">'мягк.инвент (340)'!$A$1:$O$36</definedName>
    <definedName name="_xlnm.Print_Area" localSheetId="67">'мягкий инвентарь'!$A$1:$J$31</definedName>
    <definedName name="_xlnm.Print_Area" localSheetId="57">'налоги Имущ (290)'!$A$1:$F$18</definedName>
    <definedName name="_xlnm.Print_Area" localSheetId="58">'налоги Имущ (по уч.)'!$A$1:$G$39</definedName>
    <definedName name="_xlnm.Print_Area" localSheetId="62">'оборудов доп. обр. (310)'!$A$1:$J$28</definedName>
    <definedName name="_xlnm.Print_Area" localSheetId="69">свет!$A$1:$C$25</definedName>
    <definedName name="_xlnm.Print_Area" localSheetId="14">'свет (223)'!$A$1:$G$21</definedName>
    <definedName name="_xlnm.Print_Area" localSheetId="76">'строит. мат. (340)'!$A$1:$H$49</definedName>
    <definedName name="_xlnm.Print_Area" localSheetId="15">'ТБО (223)'!$A$1:$G$14</definedName>
    <definedName name="_xlnm.Print_Area" localSheetId="13">'тепло (223)'!$A$1:$G$22</definedName>
    <definedName name="_xlnm.Print_Area" localSheetId="71">теплоэнергия!$A$1:$B$23</definedName>
    <definedName name="_xlnm.Print_Area" localSheetId="22">'ТО столов. оборуд. доу (225)'!$A$1:$G$25</definedName>
    <definedName name="_xlnm.Print_Area" localSheetId="66">'хозы. (340)'!$A$1:$P$36</definedName>
    <definedName name="_xlnm.Print_Area" localSheetId="10">'школ 221'!$A$1:$G$22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5" i="103" l="1"/>
  <c r="F13" i="103"/>
  <c r="G13" i="103" s="1"/>
  <c r="F14" i="103"/>
  <c r="G14" i="103" s="1"/>
  <c r="F15" i="103"/>
  <c r="F12" i="103" l="1"/>
  <c r="G12" i="103" s="1"/>
  <c r="G21" i="103" s="1"/>
  <c r="E87" i="28" s="1"/>
  <c r="F87" i="28" s="1"/>
  <c r="C22" i="28" l="1"/>
  <c r="F22" i="52"/>
  <c r="G22" i="52" s="1"/>
  <c r="G24" i="52" s="1"/>
  <c r="F22" i="51"/>
  <c r="G22" i="51" s="1"/>
  <c r="E22" i="28" s="1"/>
  <c r="F22" i="28" s="1"/>
  <c r="G24" i="51" l="1"/>
  <c r="F68" i="28"/>
  <c r="C36" i="102"/>
  <c r="C65" i="28"/>
  <c r="C66" i="28"/>
  <c r="C67" i="28"/>
  <c r="C12" i="91"/>
  <c r="J12" i="91" s="1"/>
  <c r="E66" i="28" s="1"/>
  <c r="F66" i="28" s="1"/>
  <c r="J14" i="91" l="1"/>
  <c r="E67" i="28" s="1"/>
  <c r="F67" i="28" s="1"/>
  <c r="G14" i="91"/>
  <c r="F14" i="91"/>
  <c r="F12" i="91"/>
  <c r="G12" i="91" s="1"/>
  <c r="H11" i="79" l="1"/>
  <c r="G11" i="79"/>
  <c r="G12" i="102" l="1"/>
  <c r="G13" i="102"/>
  <c r="G16" i="102"/>
  <c r="H36" i="102" s="1"/>
  <c r="G17" i="102"/>
  <c r="H37" i="102" s="1"/>
  <c r="G20" i="102"/>
  <c r="G21" i="102"/>
  <c r="G24" i="102"/>
  <c r="G25" i="102"/>
  <c r="G28" i="102"/>
  <c r="G29" i="102"/>
  <c r="G33" i="102"/>
  <c r="C34" i="102"/>
  <c r="C38" i="102"/>
  <c r="C37" i="102"/>
  <c r="F11" i="102"/>
  <c r="G11" i="102" s="1"/>
  <c r="G36" i="102" s="1"/>
  <c r="I36" i="102" s="1"/>
  <c r="F12" i="102"/>
  <c r="F32" i="102"/>
  <c r="G32" i="102" s="1"/>
  <c r="G38" i="102" s="1"/>
  <c r="F15" i="102"/>
  <c r="G15" i="102" s="1"/>
  <c r="F16" i="102"/>
  <c r="F17" i="102"/>
  <c r="F18" i="102"/>
  <c r="G18" i="102" s="1"/>
  <c r="F19" i="102"/>
  <c r="G19" i="102" s="1"/>
  <c r="F20" i="102"/>
  <c r="F21" i="102"/>
  <c r="F22" i="102"/>
  <c r="G22" i="102" s="1"/>
  <c r="F23" i="102"/>
  <c r="G23" i="102" s="1"/>
  <c r="F24" i="102"/>
  <c r="F25" i="102"/>
  <c r="F26" i="102"/>
  <c r="G26" i="102" s="1"/>
  <c r="F27" i="102"/>
  <c r="G27" i="102" s="1"/>
  <c r="F28" i="102"/>
  <c r="F29" i="102"/>
  <c r="F30" i="102"/>
  <c r="G30" i="102" s="1"/>
  <c r="F31" i="102"/>
  <c r="G31" i="102" s="1"/>
  <c r="F33" i="102"/>
  <c r="F14" i="102"/>
  <c r="G14" i="102" s="1"/>
  <c r="F13" i="102"/>
  <c r="F11" i="75"/>
  <c r="F13" i="101"/>
  <c r="G13" i="101" s="1"/>
  <c r="F12" i="101"/>
  <c r="G12" i="101" s="1"/>
  <c r="F11" i="101"/>
  <c r="G11" i="101" s="1"/>
  <c r="G37" i="102" l="1"/>
  <c r="I37" i="102" s="1"/>
  <c r="G14" i="101"/>
  <c r="F11" i="63" l="1"/>
  <c r="B33" i="81" l="1"/>
  <c r="C21" i="82"/>
  <c r="K208" i="83" l="1"/>
  <c r="D216" i="83"/>
  <c r="F216" i="83"/>
  <c r="H216" i="83"/>
  <c r="L11" i="83"/>
  <c r="Q11" i="83" s="1"/>
  <c r="L12" i="83"/>
  <c r="Q12" i="83" s="1"/>
  <c r="L13" i="83"/>
  <c r="L14" i="83"/>
  <c r="Q14" i="83" s="1"/>
  <c r="L15" i="83"/>
  <c r="Q15" i="83" s="1"/>
  <c r="L16" i="83"/>
  <c r="Q16" i="83" s="1"/>
  <c r="L17" i="83"/>
  <c r="Q17" i="83" s="1"/>
  <c r="L18" i="83"/>
  <c r="L20" i="83"/>
  <c r="L21" i="83"/>
  <c r="Q21" i="83" s="1"/>
  <c r="L22" i="83"/>
  <c r="Q22" i="83" s="1"/>
  <c r="L23" i="83"/>
  <c r="Q23" i="83" s="1"/>
  <c r="L24" i="83"/>
  <c r="Q24" i="83" s="1"/>
  <c r="L25" i="83"/>
  <c r="Q25" i="83" s="1"/>
  <c r="L26" i="83"/>
  <c r="Q26" i="83" s="1"/>
  <c r="L28" i="83"/>
  <c r="Q28" i="83" s="1"/>
  <c r="L29" i="83"/>
  <c r="Q29" i="83" s="1"/>
  <c r="L30" i="83"/>
  <c r="Q30" i="83" s="1"/>
  <c r="L31" i="83"/>
  <c r="Q31" i="83" s="1"/>
  <c r="L32" i="83"/>
  <c r="Q32" i="83" s="1"/>
  <c r="L33" i="83"/>
  <c r="L34" i="83"/>
  <c r="L35" i="83"/>
  <c r="Q35" i="83" s="1"/>
  <c r="L36" i="83"/>
  <c r="L37" i="83"/>
  <c r="Q37" i="83" s="1"/>
  <c r="L38" i="83"/>
  <c r="L39" i="83"/>
  <c r="Q39" i="83" s="1"/>
  <c r="L40" i="83"/>
  <c r="Q40" i="83" s="1"/>
  <c r="L41" i="83"/>
  <c r="Q41" i="83" s="1"/>
  <c r="L43" i="83"/>
  <c r="Q43" i="83" s="1"/>
  <c r="L44" i="83"/>
  <c r="L45" i="83"/>
  <c r="L46" i="83"/>
  <c r="L47" i="83"/>
  <c r="L48" i="83"/>
  <c r="Q48" i="83" s="1"/>
  <c r="L49" i="83"/>
  <c r="Q49" i="83" s="1"/>
  <c r="L50" i="83"/>
  <c r="Q50" i="83" s="1"/>
  <c r="L51" i="83"/>
  <c r="Q51" i="83" s="1"/>
  <c r="L52" i="83"/>
  <c r="Q52" i="83" s="1"/>
  <c r="L53" i="83"/>
  <c r="Q53" i="83" s="1"/>
  <c r="L54" i="83"/>
  <c r="L55" i="83"/>
  <c r="Q55" i="83" s="1"/>
  <c r="L56" i="83"/>
  <c r="Q56" i="83" s="1"/>
  <c r="L57" i="83"/>
  <c r="L58" i="83"/>
  <c r="L59" i="83"/>
  <c r="Q59" i="83" s="1"/>
  <c r="L60" i="83"/>
  <c r="Q60" i="83" s="1"/>
  <c r="L61" i="83"/>
  <c r="Q61" i="83" s="1"/>
  <c r="L62" i="83"/>
  <c r="Q62" i="83" s="1"/>
  <c r="L64" i="83"/>
  <c r="Q64" i="83" s="1"/>
  <c r="L65" i="83"/>
  <c r="Q65" i="83" s="1"/>
  <c r="L66" i="83"/>
  <c r="L67" i="83"/>
  <c r="Q67" i="83" s="1"/>
  <c r="L68" i="83"/>
  <c r="Q68" i="83" s="1"/>
  <c r="L69" i="83"/>
  <c r="L70" i="83"/>
  <c r="L71" i="83"/>
  <c r="Q71" i="83" s="1"/>
  <c r="L72" i="83"/>
  <c r="Q72" i="83" s="1"/>
  <c r="L73" i="83"/>
  <c r="Q73" i="83" s="1"/>
  <c r="L74" i="83"/>
  <c r="Q74" i="83" s="1"/>
  <c r="L75" i="83"/>
  <c r="Q75" i="83" s="1"/>
  <c r="L76" i="83"/>
  <c r="Q76" i="83" s="1"/>
  <c r="L77" i="83"/>
  <c r="Q77" i="83" s="1"/>
  <c r="L78" i="83"/>
  <c r="L79" i="83"/>
  <c r="Q79" i="83" s="1"/>
  <c r="L80" i="83"/>
  <c r="Q80" i="83" s="1"/>
  <c r="L81" i="83"/>
  <c r="L82" i="83"/>
  <c r="L83" i="83"/>
  <c r="Q83" i="83" s="1"/>
  <c r="L85" i="83"/>
  <c r="Q85" i="83" s="1"/>
  <c r="L86" i="83"/>
  <c r="L87" i="83"/>
  <c r="Q87" i="83" s="1"/>
  <c r="L88" i="83"/>
  <c r="Q88" i="83" s="1"/>
  <c r="L89" i="83"/>
  <c r="Q89" i="83" s="1"/>
  <c r="L90" i="83"/>
  <c r="Q90" i="83" s="1"/>
  <c r="L91" i="83"/>
  <c r="L92" i="83"/>
  <c r="Q92" i="83" s="1"/>
  <c r="L93" i="83"/>
  <c r="Q93" i="83" s="1"/>
  <c r="L94" i="83"/>
  <c r="Q94" i="83" s="1"/>
  <c r="L95" i="83"/>
  <c r="Q95" i="83" s="1"/>
  <c r="L96" i="83"/>
  <c r="Q96" i="83" s="1"/>
  <c r="L97" i="83"/>
  <c r="Q97" i="83" s="1"/>
  <c r="L98" i="83"/>
  <c r="Q98" i="83" s="1"/>
  <c r="L99" i="83"/>
  <c r="Q99" i="83" s="1"/>
  <c r="L100" i="83"/>
  <c r="Q100" i="83" s="1"/>
  <c r="L101" i="83"/>
  <c r="Q101" i="83" s="1"/>
  <c r="L102" i="83"/>
  <c r="Q102" i="83" s="1"/>
  <c r="L103" i="83"/>
  <c r="L105" i="83"/>
  <c r="L106" i="83"/>
  <c r="L107" i="83"/>
  <c r="Q107" i="83" s="1"/>
  <c r="L108" i="83"/>
  <c r="Q108" i="83" s="1"/>
  <c r="L109" i="83"/>
  <c r="Q109" i="83" s="1"/>
  <c r="L110" i="83"/>
  <c r="Q110" i="83" s="1"/>
  <c r="L111" i="83"/>
  <c r="Q111" i="83" s="1"/>
  <c r="L112" i="83"/>
  <c r="Q112" i="83" s="1"/>
  <c r="L113" i="83"/>
  <c r="L114" i="83"/>
  <c r="Q114" i="83" s="1"/>
  <c r="L115" i="83"/>
  <c r="Q115" i="83" s="1"/>
  <c r="L116" i="83"/>
  <c r="Q116" i="83" s="1"/>
  <c r="L117" i="83"/>
  <c r="L118" i="83"/>
  <c r="L119" i="83"/>
  <c r="Q119" i="83" s="1"/>
  <c r="L120" i="83"/>
  <c r="Q120" i="83" s="1"/>
  <c r="L121" i="83"/>
  <c r="Q121" i="83" s="1"/>
  <c r="L123" i="83"/>
  <c r="Q123" i="83" s="1"/>
  <c r="L124" i="83"/>
  <c r="Q124" i="83" s="1"/>
  <c r="L125" i="83"/>
  <c r="Q125" i="83" s="1"/>
  <c r="L126" i="83"/>
  <c r="Q126" i="83" s="1"/>
  <c r="L127" i="83"/>
  <c r="Q127" i="83" s="1"/>
  <c r="L128" i="83"/>
  <c r="Q128" i="83" s="1"/>
  <c r="L129" i="83"/>
  <c r="L130" i="83"/>
  <c r="L131" i="83"/>
  <c r="Q131" i="83" s="1"/>
  <c r="L132" i="83"/>
  <c r="Q132" i="83" s="1"/>
  <c r="L133" i="83"/>
  <c r="Q133" i="83" s="1"/>
  <c r="L134" i="83"/>
  <c r="Q134" i="83" s="1"/>
  <c r="L135" i="83"/>
  <c r="Q135" i="83" s="1"/>
  <c r="L136" i="83"/>
  <c r="Q136" i="83" s="1"/>
  <c r="L137" i="83"/>
  <c r="Q137" i="83" s="1"/>
  <c r="L138" i="83"/>
  <c r="L139" i="83"/>
  <c r="Q139" i="83" s="1"/>
  <c r="L140" i="83"/>
  <c r="Q140" i="83" s="1"/>
  <c r="L141" i="83"/>
  <c r="L142" i="83"/>
  <c r="Q142" i="83" s="1"/>
  <c r="L143" i="83"/>
  <c r="Q143" i="83" s="1"/>
  <c r="L144" i="83"/>
  <c r="Q144" i="83" s="1"/>
  <c r="L145" i="83"/>
  <c r="Q145" i="83" s="1"/>
  <c r="L146" i="83"/>
  <c r="Q146" i="83" s="1"/>
  <c r="L147" i="83"/>
  <c r="Q147" i="83" s="1"/>
  <c r="L148" i="83"/>
  <c r="Q148" i="83" s="1"/>
  <c r="L149" i="83"/>
  <c r="Q149" i="83" s="1"/>
  <c r="L150" i="83"/>
  <c r="Q150" i="83" s="1"/>
  <c r="L151" i="83"/>
  <c r="Q151" i="83" s="1"/>
  <c r="L152" i="83"/>
  <c r="Q152" i="83" s="1"/>
  <c r="L153" i="83"/>
  <c r="L154" i="83"/>
  <c r="Q154" i="83" s="1"/>
  <c r="L155" i="83"/>
  <c r="Q155" i="83" s="1"/>
  <c r="L156" i="83"/>
  <c r="Q156" i="83" s="1"/>
  <c r="L158" i="83"/>
  <c r="Q158" i="83" s="1"/>
  <c r="L159" i="83"/>
  <c r="Q159" i="83" s="1"/>
  <c r="L160" i="83"/>
  <c r="Q160" i="83" s="1"/>
  <c r="L161" i="83"/>
  <c r="L162" i="83"/>
  <c r="Q162" i="83" s="1"/>
  <c r="L164" i="83"/>
  <c r="Q164" i="83" s="1"/>
  <c r="L165" i="83"/>
  <c r="Q165" i="83" s="1"/>
  <c r="L166" i="83"/>
  <c r="L168" i="83"/>
  <c r="Q168" i="83" s="1"/>
  <c r="L169" i="83"/>
  <c r="Q169" i="83" s="1"/>
  <c r="L170" i="83"/>
  <c r="L171" i="83"/>
  <c r="Q171" i="83" s="1"/>
  <c r="L174" i="83"/>
  <c r="Q174" i="83" s="1"/>
  <c r="L175" i="83"/>
  <c r="Q175" i="83" s="1"/>
  <c r="L176" i="83"/>
  <c r="Q176" i="83" s="1"/>
  <c r="L178" i="83"/>
  <c r="Q178" i="83" s="1"/>
  <c r="L180" i="83"/>
  <c r="Q180" i="83" s="1"/>
  <c r="L181" i="83"/>
  <c r="Q181" i="83" s="1"/>
  <c r="L182" i="83"/>
  <c r="Q182" i="83" s="1"/>
  <c r="J11" i="83"/>
  <c r="K11" i="83" s="1"/>
  <c r="M11" i="83"/>
  <c r="N11" i="83"/>
  <c r="O11" i="83"/>
  <c r="J12" i="83"/>
  <c r="K12" i="83" s="1"/>
  <c r="M12" i="83"/>
  <c r="N12" i="83"/>
  <c r="O12" i="83"/>
  <c r="P12" i="83"/>
  <c r="J13" i="83"/>
  <c r="K13" i="83" s="1"/>
  <c r="M13" i="83"/>
  <c r="N13" i="83"/>
  <c r="O13" i="83"/>
  <c r="Q13" i="83"/>
  <c r="J14" i="83"/>
  <c r="K14" i="83" s="1"/>
  <c r="M14" i="83"/>
  <c r="N14" i="83"/>
  <c r="O14" i="83"/>
  <c r="P14" i="83"/>
  <c r="J15" i="83"/>
  <c r="P15" i="83" s="1"/>
  <c r="M15" i="83"/>
  <c r="N15" i="83"/>
  <c r="O15" i="83"/>
  <c r="J16" i="83"/>
  <c r="P16" i="83" s="1"/>
  <c r="M16" i="83"/>
  <c r="N16" i="83"/>
  <c r="O16" i="83"/>
  <c r="J17" i="83"/>
  <c r="K17" i="83" s="1"/>
  <c r="M17" i="83"/>
  <c r="N17" i="83"/>
  <c r="O17" i="83"/>
  <c r="J18" i="83"/>
  <c r="K18" i="83" s="1"/>
  <c r="Q18" i="83"/>
  <c r="M18" i="83"/>
  <c r="N18" i="83"/>
  <c r="O18" i="83"/>
  <c r="J19" i="83"/>
  <c r="K19" i="83" s="1"/>
  <c r="L19" i="83" s="1"/>
  <c r="M19" i="83"/>
  <c r="N19" i="83"/>
  <c r="O19" i="83"/>
  <c r="P19" i="83"/>
  <c r="J20" i="83"/>
  <c r="K20" i="83" s="1"/>
  <c r="M20" i="83"/>
  <c r="N20" i="83"/>
  <c r="O20" i="83"/>
  <c r="Q20" i="83"/>
  <c r="J21" i="83"/>
  <c r="P21" i="83" s="1"/>
  <c r="M21" i="83"/>
  <c r="N21" i="83"/>
  <c r="O21" i="83"/>
  <c r="J22" i="83"/>
  <c r="K22" i="83" s="1"/>
  <c r="M22" i="83"/>
  <c r="N22" i="83"/>
  <c r="O22" i="83"/>
  <c r="J23" i="83"/>
  <c r="P23" i="83" s="1"/>
  <c r="M23" i="83"/>
  <c r="N23" i="83"/>
  <c r="O23" i="83"/>
  <c r="J24" i="83"/>
  <c r="K24" i="83" s="1"/>
  <c r="M24" i="83"/>
  <c r="N24" i="83"/>
  <c r="O24" i="83"/>
  <c r="P24" i="83"/>
  <c r="J25" i="83"/>
  <c r="K25" i="83" s="1"/>
  <c r="M25" i="83"/>
  <c r="N25" i="83"/>
  <c r="O25" i="83"/>
  <c r="J26" i="83"/>
  <c r="K26" i="83" s="1"/>
  <c r="M26" i="83"/>
  <c r="N26" i="83"/>
  <c r="O26" i="83"/>
  <c r="J27" i="83"/>
  <c r="P27" i="83" s="1"/>
  <c r="M27" i="83"/>
  <c r="N27" i="83"/>
  <c r="O27" i="83"/>
  <c r="J28" i="83"/>
  <c r="K28" i="83" s="1"/>
  <c r="M28" i="83"/>
  <c r="N28" i="83"/>
  <c r="O28" i="83"/>
  <c r="J29" i="83"/>
  <c r="K29" i="83" s="1"/>
  <c r="M29" i="83"/>
  <c r="N29" i="83"/>
  <c r="O29" i="83"/>
  <c r="J30" i="83"/>
  <c r="K30" i="83" s="1"/>
  <c r="M30" i="83"/>
  <c r="N30" i="83"/>
  <c r="O30" i="83"/>
  <c r="J31" i="83"/>
  <c r="K31" i="83" s="1"/>
  <c r="M31" i="83"/>
  <c r="N31" i="83"/>
  <c r="O31" i="83"/>
  <c r="J32" i="83"/>
  <c r="K32" i="83" s="1"/>
  <c r="M32" i="83"/>
  <c r="N32" i="83"/>
  <c r="O32" i="83"/>
  <c r="J33" i="83"/>
  <c r="P33" i="83" s="1"/>
  <c r="Q33" i="83"/>
  <c r="M33" i="83"/>
  <c r="N33" i="83"/>
  <c r="O33" i="83"/>
  <c r="J34" i="83"/>
  <c r="K34" i="83" s="1"/>
  <c r="Q34" i="83"/>
  <c r="M34" i="83"/>
  <c r="N34" i="83"/>
  <c r="O34" i="83"/>
  <c r="J35" i="83"/>
  <c r="K35" i="83" s="1"/>
  <c r="M35" i="83"/>
  <c r="N35" i="83"/>
  <c r="O35" i="83"/>
  <c r="J36" i="83"/>
  <c r="K36" i="83" s="1"/>
  <c r="Q36" i="83"/>
  <c r="M36" i="83"/>
  <c r="N36" i="83"/>
  <c r="O36" i="83"/>
  <c r="J37" i="83"/>
  <c r="K37" i="83" s="1"/>
  <c r="M37" i="83"/>
  <c r="N37" i="83"/>
  <c r="O37" i="83"/>
  <c r="J38" i="83"/>
  <c r="K38" i="83" s="1"/>
  <c r="M38" i="83"/>
  <c r="N38" i="83"/>
  <c r="O38" i="83"/>
  <c r="J39" i="83"/>
  <c r="P39" i="83" s="1"/>
  <c r="M39" i="83"/>
  <c r="N39" i="83"/>
  <c r="O39" i="83"/>
  <c r="J40" i="83"/>
  <c r="K40" i="83" s="1"/>
  <c r="M40" i="83"/>
  <c r="N40" i="83"/>
  <c r="O40" i="83"/>
  <c r="J41" i="83"/>
  <c r="K41" i="83" s="1"/>
  <c r="M41" i="83"/>
  <c r="N41" i="83"/>
  <c r="O41" i="83"/>
  <c r="J42" i="83"/>
  <c r="K42" i="83" s="1"/>
  <c r="L42" i="83" s="1"/>
  <c r="M42" i="83"/>
  <c r="N42" i="83"/>
  <c r="O42" i="83"/>
  <c r="J43" i="83"/>
  <c r="K43" i="83" s="1"/>
  <c r="M43" i="83"/>
  <c r="N43" i="83"/>
  <c r="O43" i="83"/>
  <c r="P43" i="83"/>
  <c r="J44" i="83"/>
  <c r="K44" i="83" s="1"/>
  <c r="M44" i="83"/>
  <c r="N44" i="83"/>
  <c r="O44" i="83"/>
  <c r="Q44" i="83"/>
  <c r="J45" i="83"/>
  <c r="P45" i="83" s="1"/>
  <c r="Q45" i="83"/>
  <c r="M45" i="83"/>
  <c r="N45" i="83"/>
  <c r="O45" i="83"/>
  <c r="J46" i="83"/>
  <c r="K46" i="83" s="1"/>
  <c r="Q46" i="83"/>
  <c r="M46" i="83"/>
  <c r="N46" i="83"/>
  <c r="O46" i="83"/>
  <c r="J47" i="83"/>
  <c r="P47" i="83" s="1"/>
  <c r="Q47" i="83"/>
  <c r="M47" i="83"/>
  <c r="N47" i="83"/>
  <c r="O47" i="83"/>
  <c r="J48" i="83"/>
  <c r="K48" i="83" s="1"/>
  <c r="M48" i="83"/>
  <c r="N48" i="83"/>
  <c r="O48" i="83"/>
  <c r="P48" i="83"/>
  <c r="J49" i="83"/>
  <c r="K49" i="83" s="1"/>
  <c r="M49" i="83"/>
  <c r="N49" i="83"/>
  <c r="O49" i="83"/>
  <c r="J50" i="83"/>
  <c r="K50" i="83" s="1"/>
  <c r="M50" i="83"/>
  <c r="N50" i="83"/>
  <c r="O50" i="83"/>
  <c r="J51" i="83"/>
  <c r="P51" i="83" s="1"/>
  <c r="M51" i="83"/>
  <c r="N51" i="83"/>
  <c r="O51" i="83"/>
  <c r="J52" i="83"/>
  <c r="P52" i="83" s="1"/>
  <c r="M52" i="83"/>
  <c r="N52" i="83"/>
  <c r="O52" i="83"/>
  <c r="J53" i="83"/>
  <c r="K53" i="83" s="1"/>
  <c r="M53" i="83"/>
  <c r="N53" i="83"/>
  <c r="O53" i="83"/>
  <c r="J54" i="83"/>
  <c r="K54" i="83" s="1"/>
  <c r="Q54" i="83"/>
  <c r="M54" i="83"/>
  <c r="N54" i="83"/>
  <c r="O54" i="83"/>
  <c r="J55" i="83"/>
  <c r="K55" i="83" s="1"/>
  <c r="M55" i="83"/>
  <c r="N55" i="83"/>
  <c r="O55" i="83"/>
  <c r="P55" i="83"/>
  <c r="J56" i="83"/>
  <c r="K56" i="83" s="1"/>
  <c r="M56" i="83"/>
  <c r="N56" i="83"/>
  <c r="O56" i="83"/>
  <c r="J57" i="83"/>
  <c r="P57" i="83" s="1"/>
  <c r="Q57" i="83"/>
  <c r="M57" i="83"/>
  <c r="N57" i="83"/>
  <c r="O57" i="83"/>
  <c r="J58" i="83"/>
  <c r="K58" i="83" s="1"/>
  <c r="Q58" i="83"/>
  <c r="M58" i="83"/>
  <c r="N58" i="83"/>
  <c r="O58" i="83"/>
  <c r="J59" i="83"/>
  <c r="K59" i="83" s="1"/>
  <c r="M59" i="83"/>
  <c r="N59" i="83"/>
  <c r="O59" i="83"/>
  <c r="J60" i="83"/>
  <c r="K60" i="83" s="1"/>
  <c r="M60" i="83"/>
  <c r="N60" i="83"/>
  <c r="O60" i="83"/>
  <c r="P60" i="83"/>
  <c r="J61" i="83"/>
  <c r="K61" i="83" s="1"/>
  <c r="M61" i="83"/>
  <c r="N61" i="83"/>
  <c r="O61" i="83"/>
  <c r="J62" i="83"/>
  <c r="K62" i="83" s="1"/>
  <c r="M62" i="83"/>
  <c r="N62" i="83"/>
  <c r="O62" i="83"/>
  <c r="P62" i="83"/>
  <c r="J63" i="83"/>
  <c r="P63" i="83" s="1"/>
  <c r="M63" i="83"/>
  <c r="N63" i="83"/>
  <c r="O63" i="83"/>
  <c r="J64" i="83"/>
  <c r="P64" i="83" s="1"/>
  <c r="M64" i="83"/>
  <c r="N64" i="83"/>
  <c r="O64" i="83"/>
  <c r="J65" i="83"/>
  <c r="K65" i="83" s="1"/>
  <c r="M65" i="83"/>
  <c r="N65" i="83"/>
  <c r="O65" i="83"/>
  <c r="J66" i="83"/>
  <c r="K66" i="83" s="1"/>
  <c r="Q66" i="83"/>
  <c r="M66" i="83"/>
  <c r="N66" i="83"/>
  <c r="O66" i="83"/>
  <c r="J67" i="83"/>
  <c r="K67" i="83" s="1"/>
  <c r="M67" i="83"/>
  <c r="N67" i="83"/>
  <c r="O67" i="83"/>
  <c r="J68" i="83"/>
  <c r="K68" i="83" s="1"/>
  <c r="M68" i="83"/>
  <c r="N68" i="83"/>
  <c r="O68" i="83"/>
  <c r="J69" i="83"/>
  <c r="P69" i="83" s="1"/>
  <c r="Q69" i="83"/>
  <c r="M69" i="83"/>
  <c r="N69" i="83"/>
  <c r="O69" i="83"/>
  <c r="J70" i="83"/>
  <c r="K70" i="83" s="1"/>
  <c r="Q70" i="83"/>
  <c r="M70" i="83"/>
  <c r="N70" i="83"/>
  <c r="O70" i="83"/>
  <c r="J71" i="83"/>
  <c r="K71" i="83" s="1"/>
  <c r="M71" i="83"/>
  <c r="N71" i="83"/>
  <c r="O71" i="83"/>
  <c r="J72" i="83"/>
  <c r="K72" i="83" s="1"/>
  <c r="M72" i="83"/>
  <c r="N72" i="83"/>
  <c r="O72" i="83"/>
  <c r="P72" i="83"/>
  <c r="J73" i="83"/>
  <c r="K73" i="83" s="1"/>
  <c r="M73" i="83"/>
  <c r="N73" i="83"/>
  <c r="O73" i="83"/>
  <c r="J74" i="83"/>
  <c r="K74" i="83" s="1"/>
  <c r="M74" i="83"/>
  <c r="N74" i="83"/>
  <c r="O74" i="83"/>
  <c r="P74" i="83"/>
  <c r="J75" i="83"/>
  <c r="P75" i="83" s="1"/>
  <c r="M75" i="83"/>
  <c r="N75" i="83"/>
  <c r="O75" i="83"/>
  <c r="J76" i="83"/>
  <c r="P76" i="83" s="1"/>
  <c r="M76" i="83"/>
  <c r="N76" i="83"/>
  <c r="O76" i="83"/>
  <c r="J77" i="83"/>
  <c r="K77" i="83" s="1"/>
  <c r="M77" i="83"/>
  <c r="N77" i="83"/>
  <c r="O77" i="83"/>
  <c r="J78" i="83"/>
  <c r="K78" i="83" s="1"/>
  <c r="Q78" i="83"/>
  <c r="M78" i="83"/>
  <c r="N78" i="83"/>
  <c r="O78" i="83"/>
  <c r="J79" i="83"/>
  <c r="K79" i="83" s="1"/>
  <c r="M79" i="83"/>
  <c r="N79" i="83"/>
  <c r="O79" i="83"/>
  <c r="J80" i="83"/>
  <c r="K80" i="83" s="1"/>
  <c r="M80" i="83"/>
  <c r="N80" i="83"/>
  <c r="O80" i="83"/>
  <c r="J81" i="83"/>
  <c r="P81" i="83" s="1"/>
  <c r="Q81" i="83"/>
  <c r="M81" i="83"/>
  <c r="N81" i="83"/>
  <c r="O81" i="83"/>
  <c r="J82" i="83"/>
  <c r="K82" i="83" s="1"/>
  <c r="Q82" i="83"/>
  <c r="M82" i="83"/>
  <c r="N82" i="83"/>
  <c r="O82" i="83"/>
  <c r="J83" i="83"/>
  <c r="K83" i="83" s="1"/>
  <c r="M83" i="83"/>
  <c r="N83" i="83"/>
  <c r="O83" i="83"/>
  <c r="J84" i="83"/>
  <c r="K84" i="83" s="1"/>
  <c r="L84" i="83" s="1"/>
  <c r="M84" i="83"/>
  <c r="N84" i="83"/>
  <c r="O84" i="83"/>
  <c r="P84" i="83"/>
  <c r="J85" i="83"/>
  <c r="K85" i="83" s="1"/>
  <c r="M85" i="83"/>
  <c r="N85" i="83"/>
  <c r="O85" i="83"/>
  <c r="J86" i="83"/>
  <c r="K86" i="83"/>
  <c r="M86" i="83"/>
  <c r="N86" i="83"/>
  <c r="O86" i="83"/>
  <c r="P86" i="83"/>
  <c r="Q86" i="83"/>
  <c r="J87" i="83"/>
  <c r="P87" i="83" s="1"/>
  <c r="M87" i="83"/>
  <c r="N87" i="83"/>
  <c r="O87" i="83"/>
  <c r="J88" i="83"/>
  <c r="P88" i="83" s="1"/>
  <c r="M88" i="83"/>
  <c r="N88" i="83"/>
  <c r="O88" i="83"/>
  <c r="J89" i="83"/>
  <c r="K89" i="83" s="1"/>
  <c r="M89" i="83"/>
  <c r="N89" i="83"/>
  <c r="O89" i="83"/>
  <c r="J90" i="83"/>
  <c r="K90" i="83" s="1"/>
  <c r="M90" i="83"/>
  <c r="N90" i="83"/>
  <c r="O90" i="83"/>
  <c r="J91" i="83"/>
  <c r="K91" i="83" s="1"/>
  <c r="M91" i="83"/>
  <c r="N91" i="83"/>
  <c r="R91" i="83" s="1"/>
  <c r="S91" i="83" s="1"/>
  <c r="O91" i="83"/>
  <c r="P91" i="83"/>
  <c r="Q91" i="83"/>
  <c r="J92" i="83"/>
  <c r="K92" i="83" s="1"/>
  <c r="M92" i="83"/>
  <c r="N92" i="83"/>
  <c r="O92" i="83"/>
  <c r="J93" i="83"/>
  <c r="P93" i="83" s="1"/>
  <c r="M93" i="83"/>
  <c r="N93" i="83"/>
  <c r="O93" i="83"/>
  <c r="J94" i="83"/>
  <c r="K94" i="83" s="1"/>
  <c r="M94" i="83"/>
  <c r="N94" i="83"/>
  <c r="O94" i="83"/>
  <c r="J95" i="83"/>
  <c r="P95" i="83" s="1"/>
  <c r="M95" i="83"/>
  <c r="N95" i="83"/>
  <c r="O95" i="83"/>
  <c r="J96" i="83"/>
  <c r="K96" i="83" s="1"/>
  <c r="M96" i="83"/>
  <c r="N96" i="83"/>
  <c r="O96" i="83"/>
  <c r="J97" i="83"/>
  <c r="K97" i="83" s="1"/>
  <c r="M97" i="83"/>
  <c r="N97" i="83"/>
  <c r="O97" i="83"/>
  <c r="J98" i="83"/>
  <c r="K98" i="83" s="1"/>
  <c r="M98" i="83"/>
  <c r="N98" i="83"/>
  <c r="O98" i="83"/>
  <c r="P98" i="83"/>
  <c r="J99" i="83"/>
  <c r="P99" i="83" s="1"/>
  <c r="M99" i="83"/>
  <c r="N99" i="83"/>
  <c r="O99" i="83"/>
  <c r="J100" i="83"/>
  <c r="K100" i="83" s="1"/>
  <c r="M100" i="83"/>
  <c r="N100" i="83"/>
  <c r="O100" i="83"/>
  <c r="J101" i="83"/>
  <c r="K101" i="83" s="1"/>
  <c r="M101" i="83"/>
  <c r="N101" i="83"/>
  <c r="O101" i="83"/>
  <c r="J102" i="83"/>
  <c r="K102" i="83" s="1"/>
  <c r="M102" i="83"/>
  <c r="N102" i="83"/>
  <c r="O102" i="83"/>
  <c r="J103" i="83"/>
  <c r="K103" i="83" s="1"/>
  <c r="M103" i="83"/>
  <c r="N103" i="83"/>
  <c r="O103" i="83"/>
  <c r="P103" i="83"/>
  <c r="Q103" i="83"/>
  <c r="J104" i="83"/>
  <c r="K104" i="83" s="1"/>
  <c r="L104" i="83" s="1"/>
  <c r="M104" i="83"/>
  <c r="N104" i="83"/>
  <c r="O104" i="83"/>
  <c r="J105" i="83"/>
  <c r="P105" i="83" s="1"/>
  <c r="Q105" i="83"/>
  <c r="M105" i="83"/>
  <c r="N105" i="83"/>
  <c r="O105" i="83"/>
  <c r="J106" i="83"/>
  <c r="K106" i="83" s="1"/>
  <c r="Q106" i="83"/>
  <c r="M106" i="83"/>
  <c r="N106" i="83"/>
  <c r="O106" i="83"/>
  <c r="J107" i="83"/>
  <c r="K107" i="83" s="1"/>
  <c r="M107" i="83"/>
  <c r="N107" i="83"/>
  <c r="O107" i="83"/>
  <c r="J108" i="83"/>
  <c r="K108" i="83" s="1"/>
  <c r="M108" i="83"/>
  <c r="N108" i="83"/>
  <c r="O108" i="83"/>
  <c r="P108" i="83"/>
  <c r="J109" i="83"/>
  <c r="K109" i="83" s="1"/>
  <c r="M109" i="83"/>
  <c r="N109" i="83"/>
  <c r="O109" i="83"/>
  <c r="J110" i="83"/>
  <c r="K110" i="83" s="1"/>
  <c r="M110" i="83"/>
  <c r="N110" i="83"/>
  <c r="O110" i="83"/>
  <c r="P110" i="83"/>
  <c r="J111" i="83"/>
  <c r="P111" i="83" s="1"/>
  <c r="M111" i="83"/>
  <c r="N111" i="83"/>
  <c r="O111" i="83"/>
  <c r="J112" i="83"/>
  <c r="P112" i="83" s="1"/>
  <c r="M112" i="83"/>
  <c r="N112" i="83"/>
  <c r="O112" i="83"/>
  <c r="J113" i="83"/>
  <c r="P113" i="83" s="1"/>
  <c r="Q113" i="83"/>
  <c r="M113" i="83"/>
  <c r="N113" i="83"/>
  <c r="O113" i="83"/>
  <c r="J114" i="83"/>
  <c r="K114" i="83" s="1"/>
  <c r="M114" i="83"/>
  <c r="N114" i="83"/>
  <c r="O114" i="83"/>
  <c r="J115" i="83"/>
  <c r="K115" i="83" s="1"/>
  <c r="M115" i="83"/>
  <c r="N115" i="83"/>
  <c r="O115" i="83"/>
  <c r="P115" i="83"/>
  <c r="J116" i="83"/>
  <c r="K116" i="83" s="1"/>
  <c r="M116" i="83"/>
  <c r="N116" i="83"/>
  <c r="O116" i="83"/>
  <c r="J117" i="83"/>
  <c r="P117" i="83" s="1"/>
  <c r="Q117" i="83"/>
  <c r="M117" i="83"/>
  <c r="N117" i="83"/>
  <c r="O117" i="83"/>
  <c r="J118" i="83"/>
  <c r="P118" i="83" s="1"/>
  <c r="Q118" i="83"/>
  <c r="M118" i="83"/>
  <c r="N118" i="83"/>
  <c r="O118" i="83"/>
  <c r="J119" i="83"/>
  <c r="K119" i="83" s="1"/>
  <c r="M119" i="83"/>
  <c r="N119" i="83"/>
  <c r="O119" i="83"/>
  <c r="J120" i="83"/>
  <c r="K120" i="83" s="1"/>
  <c r="M120" i="83"/>
  <c r="N120" i="83"/>
  <c r="O120" i="83"/>
  <c r="J121" i="83"/>
  <c r="K121" i="83" s="1"/>
  <c r="M121" i="83"/>
  <c r="N121" i="83"/>
  <c r="O121" i="83"/>
  <c r="P121" i="83"/>
  <c r="J122" i="83"/>
  <c r="K122" i="83" s="1"/>
  <c r="M122" i="83"/>
  <c r="N122" i="83"/>
  <c r="O122" i="83"/>
  <c r="J123" i="83"/>
  <c r="P123" i="83" s="1"/>
  <c r="M123" i="83"/>
  <c r="N123" i="83"/>
  <c r="O123" i="83"/>
  <c r="J124" i="83"/>
  <c r="P124" i="83" s="1"/>
  <c r="M124" i="83"/>
  <c r="N124" i="83"/>
  <c r="O124" i="83"/>
  <c r="J125" i="83"/>
  <c r="K125" i="83" s="1"/>
  <c r="M125" i="83"/>
  <c r="N125" i="83"/>
  <c r="O125" i="83"/>
  <c r="J126" i="83"/>
  <c r="K126" i="83" s="1"/>
  <c r="M126" i="83"/>
  <c r="N126" i="83"/>
  <c r="O126" i="83"/>
  <c r="P126" i="83"/>
  <c r="J127" i="83"/>
  <c r="K127" i="83" s="1"/>
  <c r="M127" i="83"/>
  <c r="N127" i="83"/>
  <c r="O127" i="83"/>
  <c r="J128" i="83"/>
  <c r="K128" i="83"/>
  <c r="M128" i="83"/>
  <c r="N128" i="83"/>
  <c r="O128" i="83"/>
  <c r="P128" i="83"/>
  <c r="J129" i="83"/>
  <c r="P129" i="83" s="1"/>
  <c r="Q129" i="83"/>
  <c r="M129" i="83"/>
  <c r="N129" i="83"/>
  <c r="O129" i="83"/>
  <c r="J130" i="83"/>
  <c r="K130" i="83" s="1"/>
  <c r="Q130" i="83"/>
  <c r="M130" i="83"/>
  <c r="N130" i="83"/>
  <c r="O130" i="83"/>
  <c r="J131" i="83"/>
  <c r="K131" i="83" s="1"/>
  <c r="M131" i="83"/>
  <c r="N131" i="83"/>
  <c r="O131" i="83"/>
  <c r="J132" i="83"/>
  <c r="K132" i="83" s="1"/>
  <c r="M132" i="83"/>
  <c r="N132" i="83"/>
  <c r="O132" i="83"/>
  <c r="J133" i="83"/>
  <c r="K133" i="83" s="1"/>
  <c r="M133" i="83"/>
  <c r="N133" i="83"/>
  <c r="O133" i="83"/>
  <c r="P133" i="83"/>
  <c r="J134" i="83"/>
  <c r="P134" i="83" s="1"/>
  <c r="M134" i="83"/>
  <c r="N134" i="83"/>
  <c r="O134" i="83"/>
  <c r="J135" i="83"/>
  <c r="P135" i="83" s="1"/>
  <c r="M135" i="83"/>
  <c r="N135" i="83"/>
  <c r="O135" i="83"/>
  <c r="J136" i="83"/>
  <c r="K136" i="83" s="1"/>
  <c r="M136" i="83"/>
  <c r="N136" i="83"/>
  <c r="O136" i="83"/>
  <c r="J137" i="83"/>
  <c r="K137" i="83" s="1"/>
  <c r="M137" i="83"/>
  <c r="N137" i="83"/>
  <c r="O137" i="83"/>
  <c r="J138" i="83"/>
  <c r="K138" i="83" s="1"/>
  <c r="Q138" i="83"/>
  <c r="M138" i="83"/>
  <c r="N138" i="83"/>
  <c r="O138" i="83"/>
  <c r="P138" i="83"/>
  <c r="J139" i="83"/>
  <c r="K139" i="83" s="1"/>
  <c r="M139" i="83"/>
  <c r="N139" i="83"/>
  <c r="O139" i="83"/>
  <c r="J140" i="83"/>
  <c r="K140" i="83" s="1"/>
  <c r="M140" i="83"/>
  <c r="N140" i="83"/>
  <c r="O140" i="83"/>
  <c r="J141" i="83"/>
  <c r="P141" i="83" s="1"/>
  <c r="Q141" i="83"/>
  <c r="M141" i="83"/>
  <c r="N141" i="83"/>
  <c r="O141" i="83"/>
  <c r="J142" i="83"/>
  <c r="P142" i="83" s="1"/>
  <c r="M142" i="83"/>
  <c r="N142" i="83"/>
  <c r="O142" i="83"/>
  <c r="J143" i="83"/>
  <c r="P143" i="83" s="1"/>
  <c r="M143" i="83"/>
  <c r="N143" i="83"/>
  <c r="O143" i="83"/>
  <c r="J144" i="83"/>
  <c r="K144" i="83" s="1"/>
  <c r="M144" i="83"/>
  <c r="N144" i="83"/>
  <c r="O144" i="83"/>
  <c r="P144" i="83"/>
  <c r="J145" i="83"/>
  <c r="K145" i="83" s="1"/>
  <c r="M145" i="83"/>
  <c r="N145" i="83"/>
  <c r="O145" i="83"/>
  <c r="J146" i="83"/>
  <c r="K146" i="83"/>
  <c r="M146" i="83"/>
  <c r="N146" i="83"/>
  <c r="O146" i="83"/>
  <c r="P146" i="83"/>
  <c r="J147" i="83"/>
  <c r="P147" i="83" s="1"/>
  <c r="M147" i="83"/>
  <c r="N147" i="83"/>
  <c r="O147" i="83"/>
  <c r="J148" i="83"/>
  <c r="P148" i="83" s="1"/>
  <c r="M148" i="83"/>
  <c r="N148" i="83"/>
  <c r="O148" i="83"/>
  <c r="J149" i="83"/>
  <c r="K149" i="83" s="1"/>
  <c r="M149" i="83"/>
  <c r="N149" i="83"/>
  <c r="O149" i="83"/>
  <c r="J150" i="83"/>
  <c r="K150" i="83" s="1"/>
  <c r="M150" i="83"/>
  <c r="N150" i="83"/>
  <c r="O150" i="83"/>
  <c r="J151" i="83"/>
  <c r="K151" i="83" s="1"/>
  <c r="M151" i="83"/>
  <c r="N151" i="83"/>
  <c r="O151" i="83"/>
  <c r="J152" i="83"/>
  <c r="K152" i="83" s="1"/>
  <c r="M152" i="83"/>
  <c r="N152" i="83"/>
  <c r="O152" i="83"/>
  <c r="J153" i="83"/>
  <c r="P153" i="83" s="1"/>
  <c r="Q153" i="83"/>
  <c r="M153" i="83"/>
  <c r="N153" i="83"/>
  <c r="O153" i="83"/>
  <c r="J154" i="83"/>
  <c r="P154" i="83" s="1"/>
  <c r="M154" i="83"/>
  <c r="N154" i="83"/>
  <c r="O154" i="83"/>
  <c r="J155" i="83"/>
  <c r="K155" i="83" s="1"/>
  <c r="M155" i="83"/>
  <c r="N155" i="83"/>
  <c r="O155" i="83"/>
  <c r="J156" i="83"/>
  <c r="K156" i="83" s="1"/>
  <c r="M156" i="83"/>
  <c r="N156" i="83"/>
  <c r="O156" i="83"/>
  <c r="P156" i="83"/>
  <c r="J157" i="83"/>
  <c r="K157" i="83" s="1"/>
  <c r="L157" i="83" s="1"/>
  <c r="M157" i="83"/>
  <c r="N157" i="83"/>
  <c r="O157" i="83"/>
  <c r="J158" i="83"/>
  <c r="K158" i="83" s="1"/>
  <c r="M158" i="83"/>
  <c r="N158" i="83"/>
  <c r="O158" i="83"/>
  <c r="P158" i="83"/>
  <c r="J159" i="83"/>
  <c r="P159" i="83" s="1"/>
  <c r="M159" i="83"/>
  <c r="N159" i="83"/>
  <c r="O159" i="83"/>
  <c r="J160" i="83"/>
  <c r="P160" i="83" s="1"/>
  <c r="M160" i="83"/>
  <c r="N160" i="83"/>
  <c r="O160" i="83"/>
  <c r="J161" i="83"/>
  <c r="K161" i="83" s="1"/>
  <c r="Q161" i="83"/>
  <c r="M161" i="83"/>
  <c r="N161" i="83"/>
  <c r="O161" i="83"/>
  <c r="J162" i="83"/>
  <c r="K162" i="83" s="1"/>
  <c r="M162" i="83"/>
  <c r="N162" i="83"/>
  <c r="O162" i="83"/>
  <c r="J163" i="83"/>
  <c r="K163" i="83" s="1"/>
  <c r="L163" i="83" s="1"/>
  <c r="M163" i="83"/>
  <c r="N163" i="83"/>
  <c r="O163" i="83"/>
  <c r="P163" i="83"/>
  <c r="J164" i="83"/>
  <c r="P164" i="83" s="1"/>
  <c r="M164" i="83"/>
  <c r="N164" i="83"/>
  <c r="O164" i="83"/>
  <c r="J165" i="83"/>
  <c r="P165" i="83" s="1"/>
  <c r="M165" i="83"/>
  <c r="N165" i="83"/>
  <c r="O165" i="83"/>
  <c r="J166" i="83"/>
  <c r="K166" i="83" s="1"/>
  <c r="Q166" i="83"/>
  <c r="M166" i="83"/>
  <c r="N166" i="83"/>
  <c r="O166" i="83"/>
  <c r="J167" i="83"/>
  <c r="P167" i="83" s="1"/>
  <c r="M167" i="83"/>
  <c r="N167" i="83"/>
  <c r="O167" i="83"/>
  <c r="J168" i="83"/>
  <c r="K168" i="83" s="1"/>
  <c r="M168" i="83"/>
  <c r="N168" i="83"/>
  <c r="O168" i="83"/>
  <c r="J169" i="83"/>
  <c r="K169" i="83" s="1"/>
  <c r="M169" i="83"/>
  <c r="N169" i="83"/>
  <c r="O169" i="83"/>
  <c r="J170" i="83"/>
  <c r="K170" i="83" s="1"/>
  <c r="M170" i="83"/>
  <c r="N170" i="83"/>
  <c r="O170" i="83"/>
  <c r="P170" i="83"/>
  <c r="Q170" i="83"/>
  <c r="J171" i="83"/>
  <c r="P171" i="83" s="1"/>
  <c r="M171" i="83"/>
  <c r="N171" i="83"/>
  <c r="O171" i="83"/>
  <c r="J172" i="83"/>
  <c r="P172" i="83" s="1"/>
  <c r="M172" i="83"/>
  <c r="N172" i="83"/>
  <c r="O172" i="83"/>
  <c r="J173" i="83"/>
  <c r="K173" i="83" s="1"/>
  <c r="L173" i="83" s="1"/>
  <c r="M173" i="83"/>
  <c r="N173" i="83"/>
  <c r="O173" i="83"/>
  <c r="J174" i="83"/>
  <c r="K174" i="83" s="1"/>
  <c r="M174" i="83"/>
  <c r="N174" i="83"/>
  <c r="O174" i="83"/>
  <c r="P174" i="83"/>
  <c r="J175" i="83"/>
  <c r="K175" i="83" s="1"/>
  <c r="M175" i="83"/>
  <c r="N175" i="83"/>
  <c r="O175" i="83"/>
  <c r="J176" i="83"/>
  <c r="P176" i="83" s="1"/>
  <c r="K176" i="83"/>
  <c r="M176" i="83"/>
  <c r="N176" i="83"/>
  <c r="O176" i="83"/>
  <c r="J177" i="83"/>
  <c r="P177" i="83" s="1"/>
  <c r="M177" i="83"/>
  <c r="N177" i="83"/>
  <c r="O177" i="83"/>
  <c r="J178" i="83"/>
  <c r="K178" i="83" s="1"/>
  <c r="M178" i="83"/>
  <c r="N178" i="83"/>
  <c r="O178" i="83"/>
  <c r="J179" i="83"/>
  <c r="K179" i="83" s="1"/>
  <c r="L179" i="83" s="1"/>
  <c r="M179" i="83"/>
  <c r="N179" i="83"/>
  <c r="O179" i="83"/>
  <c r="J180" i="83"/>
  <c r="K180" i="83" s="1"/>
  <c r="M180" i="83"/>
  <c r="N180" i="83"/>
  <c r="O180" i="83"/>
  <c r="J181" i="83"/>
  <c r="K181" i="83" s="1"/>
  <c r="M181" i="83"/>
  <c r="N181" i="83"/>
  <c r="O181" i="83"/>
  <c r="J182" i="83"/>
  <c r="K182" i="83" s="1"/>
  <c r="M182" i="83"/>
  <c r="N182" i="83"/>
  <c r="O182" i="83"/>
  <c r="J183" i="83"/>
  <c r="P183" i="83" s="1"/>
  <c r="M183" i="83"/>
  <c r="N183" i="83"/>
  <c r="O183" i="83"/>
  <c r="J184" i="83"/>
  <c r="P184" i="83" s="1"/>
  <c r="M184" i="83"/>
  <c r="N184" i="83"/>
  <c r="O184" i="83"/>
  <c r="J185" i="83"/>
  <c r="K185" i="83" s="1"/>
  <c r="M185" i="83"/>
  <c r="N185" i="83"/>
  <c r="O185" i="83"/>
  <c r="J186" i="83"/>
  <c r="K186" i="83" s="1"/>
  <c r="L186" i="83" s="1"/>
  <c r="M186" i="83"/>
  <c r="N186" i="83"/>
  <c r="O186" i="83"/>
  <c r="P186" i="83"/>
  <c r="J10" i="83"/>
  <c r="P10" i="83" s="1"/>
  <c r="G187" i="83"/>
  <c r="H187" i="83"/>
  <c r="I187" i="83"/>
  <c r="D187" i="83"/>
  <c r="F10" i="83"/>
  <c r="O10" i="83" s="1"/>
  <c r="M10" i="83"/>
  <c r="G208" i="84"/>
  <c r="D219" i="84"/>
  <c r="F196" i="84"/>
  <c r="L196" i="84" s="1"/>
  <c r="M196" i="84" s="1"/>
  <c r="F197" i="84"/>
  <c r="L197" i="84" s="1"/>
  <c r="M197" i="84" s="1"/>
  <c r="F199" i="84"/>
  <c r="F195" i="84"/>
  <c r="F181" i="84"/>
  <c r="F182" i="84"/>
  <c r="L182" i="84" s="1"/>
  <c r="M182" i="84" s="1"/>
  <c r="F183" i="84"/>
  <c r="L183" i="84" s="1"/>
  <c r="M183" i="84" s="1"/>
  <c r="F184" i="84"/>
  <c r="L184" i="84" s="1"/>
  <c r="M184" i="84" s="1"/>
  <c r="F185" i="84"/>
  <c r="L185" i="84" s="1"/>
  <c r="M185" i="84" s="1"/>
  <c r="F186" i="84"/>
  <c r="L186" i="84" s="1"/>
  <c r="M186" i="84" s="1"/>
  <c r="F187" i="84"/>
  <c r="L187" i="84" s="1"/>
  <c r="M187" i="84" s="1"/>
  <c r="F188" i="84"/>
  <c r="F189" i="84"/>
  <c r="L189" i="84" s="1"/>
  <c r="M189" i="84" s="1"/>
  <c r="F190" i="84"/>
  <c r="L190" i="84" s="1"/>
  <c r="M190" i="84" s="1"/>
  <c r="F191" i="84"/>
  <c r="L191" i="84" s="1"/>
  <c r="M191" i="84" s="1"/>
  <c r="F192" i="84"/>
  <c r="L192" i="84" s="1"/>
  <c r="M192" i="84" s="1"/>
  <c r="F193" i="84"/>
  <c r="L193" i="84" s="1"/>
  <c r="M193" i="84" s="1"/>
  <c r="G21" i="84"/>
  <c r="G22" i="84"/>
  <c r="G23" i="84"/>
  <c r="G24" i="84"/>
  <c r="G25" i="84"/>
  <c r="G26" i="84"/>
  <c r="G27" i="84"/>
  <c r="G28" i="84"/>
  <c r="G29" i="84"/>
  <c r="G30" i="84"/>
  <c r="G31" i="84"/>
  <c r="G36" i="84"/>
  <c r="G37" i="84"/>
  <c r="G38" i="84"/>
  <c r="G39" i="84"/>
  <c r="G40" i="84"/>
  <c r="G41" i="84"/>
  <c r="G42" i="84"/>
  <c r="G43" i="84"/>
  <c r="G44" i="84"/>
  <c r="G45" i="84"/>
  <c r="G46" i="84"/>
  <c r="G47" i="84"/>
  <c r="G48" i="84"/>
  <c r="G49" i="84"/>
  <c r="G50" i="84"/>
  <c r="G51" i="84"/>
  <c r="G52" i="84"/>
  <c r="G53" i="84"/>
  <c r="G54" i="84"/>
  <c r="G55" i="84"/>
  <c r="L199" i="84"/>
  <c r="M199" i="84" s="1"/>
  <c r="K199" i="84"/>
  <c r="K198" i="84"/>
  <c r="D198" i="84"/>
  <c r="F198" i="84" s="1"/>
  <c r="L198" i="84" s="1"/>
  <c r="K197" i="84"/>
  <c r="K196" i="84"/>
  <c r="K195" i="84"/>
  <c r="J194" i="84"/>
  <c r="I194" i="84"/>
  <c r="H194" i="84"/>
  <c r="G194" i="84"/>
  <c r="E194" i="84"/>
  <c r="D194" i="84"/>
  <c r="C194" i="84"/>
  <c r="K193" i="84"/>
  <c r="K192" i="84"/>
  <c r="K191" i="84"/>
  <c r="K190" i="84"/>
  <c r="K189" i="84"/>
  <c r="K188" i="84"/>
  <c r="L188" i="84"/>
  <c r="M188" i="84" s="1"/>
  <c r="K187" i="84"/>
  <c r="K186" i="84"/>
  <c r="K185" i="84"/>
  <c r="K184" i="84"/>
  <c r="K183" i="84"/>
  <c r="K182" i="84"/>
  <c r="K181" i="84"/>
  <c r="J180" i="84"/>
  <c r="I180" i="84"/>
  <c r="H180" i="84"/>
  <c r="G180" i="84"/>
  <c r="E180" i="84"/>
  <c r="D180" i="84"/>
  <c r="C180" i="84"/>
  <c r="M179" i="84"/>
  <c r="K179" i="84"/>
  <c r="J179" i="84"/>
  <c r="F179" i="84"/>
  <c r="M178" i="84"/>
  <c r="K178" i="84"/>
  <c r="J178" i="84"/>
  <c r="F178" i="84"/>
  <c r="L178" i="84" s="1"/>
  <c r="K177" i="84"/>
  <c r="J177" i="84"/>
  <c r="F177" i="84"/>
  <c r="K176" i="84"/>
  <c r="J176" i="84"/>
  <c r="F176" i="84"/>
  <c r="K175" i="84"/>
  <c r="J175" i="84"/>
  <c r="F175" i="84"/>
  <c r="K174" i="84"/>
  <c r="J174" i="84"/>
  <c r="F174" i="84"/>
  <c r="K173" i="84"/>
  <c r="J173" i="84"/>
  <c r="F173" i="84"/>
  <c r="K172" i="84"/>
  <c r="J172" i="84"/>
  <c r="F172" i="84"/>
  <c r="K171" i="84"/>
  <c r="J171" i="84"/>
  <c r="F171" i="84"/>
  <c r="K170" i="84"/>
  <c r="J170" i="84"/>
  <c r="F170" i="84"/>
  <c r="K169" i="84"/>
  <c r="J169" i="84"/>
  <c r="F169" i="84"/>
  <c r="K168" i="84"/>
  <c r="J168" i="84"/>
  <c r="F168" i="84"/>
  <c r="K167" i="84"/>
  <c r="J167" i="84"/>
  <c r="F167" i="84"/>
  <c r="K166" i="84"/>
  <c r="J166" i="84"/>
  <c r="F166" i="84"/>
  <c r="L166" i="84" s="1"/>
  <c r="M166" i="84" s="1"/>
  <c r="K165" i="84"/>
  <c r="J165" i="84"/>
  <c r="F165" i="84"/>
  <c r="K164" i="84"/>
  <c r="J164" i="84"/>
  <c r="F164" i="84"/>
  <c r="K163" i="84"/>
  <c r="J163" i="84"/>
  <c r="F163" i="84"/>
  <c r="K162" i="84"/>
  <c r="J162" i="84"/>
  <c r="F162" i="84"/>
  <c r="K161" i="84"/>
  <c r="J161" i="84"/>
  <c r="F161" i="84"/>
  <c r="K159" i="84"/>
  <c r="J159" i="84"/>
  <c r="F159" i="84"/>
  <c r="L158" i="84"/>
  <c r="M158" i="84" s="1"/>
  <c r="K158" i="84"/>
  <c r="J158" i="84"/>
  <c r="F158" i="84"/>
  <c r="K157" i="84"/>
  <c r="J157" i="84"/>
  <c r="F157" i="84"/>
  <c r="K156" i="84"/>
  <c r="J156" i="84"/>
  <c r="F156" i="84"/>
  <c r="K155" i="84"/>
  <c r="J155" i="84"/>
  <c r="F155" i="84"/>
  <c r="K154" i="84"/>
  <c r="J154" i="84"/>
  <c r="F154" i="84"/>
  <c r="K153" i="84"/>
  <c r="J153" i="84"/>
  <c r="F153" i="84"/>
  <c r="K152" i="84"/>
  <c r="J152" i="84"/>
  <c r="F152" i="84"/>
  <c r="K151" i="84"/>
  <c r="J151" i="84"/>
  <c r="F151" i="84"/>
  <c r="K150" i="84"/>
  <c r="J150" i="84"/>
  <c r="F150" i="84"/>
  <c r="K149" i="84"/>
  <c r="J149" i="84"/>
  <c r="F149" i="84"/>
  <c r="K148" i="84"/>
  <c r="J148" i="84"/>
  <c r="F148" i="84"/>
  <c r="K147" i="84"/>
  <c r="J147" i="84"/>
  <c r="F147" i="84"/>
  <c r="K146" i="84"/>
  <c r="J146" i="84"/>
  <c r="F146" i="84"/>
  <c r="K145" i="84"/>
  <c r="J145" i="84"/>
  <c r="F145" i="84"/>
  <c r="K144" i="84"/>
  <c r="J144" i="84"/>
  <c r="F144" i="84"/>
  <c r="K143" i="84"/>
  <c r="J143" i="84"/>
  <c r="F143" i="84"/>
  <c r="K142" i="84"/>
  <c r="J142" i="84"/>
  <c r="F142" i="84"/>
  <c r="K141" i="84"/>
  <c r="J141" i="84"/>
  <c r="F141" i="84"/>
  <c r="I140" i="84"/>
  <c r="H140" i="84"/>
  <c r="G140" i="84"/>
  <c r="E140" i="84"/>
  <c r="D140" i="84"/>
  <c r="C140" i="84"/>
  <c r="K139" i="84"/>
  <c r="J139" i="84"/>
  <c r="F139" i="84"/>
  <c r="K138" i="84"/>
  <c r="J138" i="84"/>
  <c r="F138" i="84"/>
  <c r="K137" i="84"/>
  <c r="J137" i="84"/>
  <c r="F137" i="84"/>
  <c r="K136" i="84"/>
  <c r="J136" i="84"/>
  <c r="F136" i="84"/>
  <c r="K135" i="84"/>
  <c r="J135" i="84"/>
  <c r="F135" i="84"/>
  <c r="K134" i="84"/>
  <c r="J134" i="84"/>
  <c r="F134" i="84"/>
  <c r="K133" i="84"/>
  <c r="J133" i="84"/>
  <c r="F133" i="84"/>
  <c r="K132" i="84"/>
  <c r="J132" i="84"/>
  <c r="F132" i="84"/>
  <c r="K131" i="84"/>
  <c r="J131" i="84"/>
  <c r="F131" i="84"/>
  <c r="K130" i="84"/>
  <c r="J130" i="84"/>
  <c r="F130" i="84"/>
  <c r="K129" i="84"/>
  <c r="J129" i="84"/>
  <c r="F129" i="84"/>
  <c r="K128" i="84"/>
  <c r="J128" i="84"/>
  <c r="F128" i="84"/>
  <c r="K127" i="84"/>
  <c r="J127" i="84"/>
  <c r="F127" i="84"/>
  <c r="K126" i="84"/>
  <c r="J126" i="84"/>
  <c r="F126" i="84"/>
  <c r="K125" i="84"/>
  <c r="J125" i="84"/>
  <c r="F125" i="84"/>
  <c r="K124" i="84"/>
  <c r="J124" i="84"/>
  <c r="F124" i="84"/>
  <c r="K123" i="84"/>
  <c r="J123" i="84"/>
  <c r="F123" i="84"/>
  <c r="K122" i="84"/>
  <c r="J122" i="84"/>
  <c r="F122" i="84"/>
  <c r="K121" i="84"/>
  <c r="J121" i="84"/>
  <c r="F121" i="84"/>
  <c r="I120" i="84"/>
  <c r="H120" i="84"/>
  <c r="G120" i="84"/>
  <c r="E120" i="84"/>
  <c r="D120" i="84"/>
  <c r="C120" i="84"/>
  <c r="H111" i="84"/>
  <c r="B111" i="84"/>
  <c r="G110" i="84"/>
  <c r="G109" i="84"/>
  <c r="G108" i="84"/>
  <c r="G107" i="84"/>
  <c r="G106" i="84"/>
  <c r="G105" i="84"/>
  <c r="B104" i="84"/>
  <c r="G103" i="84"/>
  <c r="G102" i="84"/>
  <c r="G101" i="84"/>
  <c r="G100" i="84"/>
  <c r="G99" i="84"/>
  <c r="G98" i="84"/>
  <c r="G97" i="84"/>
  <c r="G96" i="84"/>
  <c r="G95" i="84"/>
  <c r="G94" i="84"/>
  <c r="B93" i="84"/>
  <c r="G92" i="84"/>
  <c r="G91" i="84"/>
  <c r="G90" i="84"/>
  <c r="G89" i="84"/>
  <c r="G88" i="84"/>
  <c r="G87" i="84"/>
  <c r="G86" i="84"/>
  <c r="G85" i="84"/>
  <c r="G84" i="84"/>
  <c r="G83" i="84"/>
  <c r="G82" i="84"/>
  <c r="G81" i="84"/>
  <c r="B80" i="84"/>
  <c r="F79" i="84"/>
  <c r="G79" i="84" s="1"/>
  <c r="F78" i="84"/>
  <c r="G78" i="84" s="1"/>
  <c r="F77" i="84"/>
  <c r="G77" i="84" s="1"/>
  <c r="B76" i="84"/>
  <c r="H75" i="84"/>
  <c r="I213" i="84" s="1"/>
  <c r="G75" i="84"/>
  <c r="H74" i="84"/>
  <c r="G74" i="84"/>
  <c r="G73" i="84"/>
  <c r="F72" i="84"/>
  <c r="G72" i="84" s="1"/>
  <c r="F71" i="84"/>
  <c r="G71" i="84" s="1"/>
  <c r="F70" i="84"/>
  <c r="G70" i="84" s="1"/>
  <c r="F69" i="84"/>
  <c r="G69" i="84" s="1"/>
  <c r="F68" i="84"/>
  <c r="G68" i="84" s="1"/>
  <c r="F67" i="84"/>
  <c r="G67" i="84" s="1"/>
  <c r="F66" i="84"/>
  <c r="G66" i="84" s="1"/>
  <c r="F65" i="84"/>
  <c r="G65" i="84" s="1"/>
  <c r="F64" i="84"/>
  <c r="G64" i="84" s="1"/>
  <c r="F63" i="84"/>
  <c r="G63" i="84" s="1"/>
  <c r="F62" i="84"/>
  <c r="G62" i="84" s="1"/>
  <c r="F61" i="84"/>
  <c r="G61" i="84" s="1"/>
  <c r="F60" i="84"/>
  <c r="G60" i="84" s="1"/>
  <c r="F59" i="84"/>
  <c r="G59" i="84" s="1"/>
  <c r="F58" i="84"/>
  <c r="G58" i="84" s="1"/>
  <c r="F57" i="84"/>
  <c r="G57" i="84" s="1"/>
  <c r="B56" i="84"/>
  <c r="G20" i="84"/>
  <c r="I9" i="84"/>
  <c r="H9" i="84"/>
  <c r="G9" i="84"/>
  <c r="F9" i="84"/>
  <c r="F187" i="83" l="1"/>
  <c r="R86" i="83"/>
  <c r="S86" i="83" s="1"/>
  <c r="R176" i="83"/>
  <c r="S176" i="83" s="1"/>
  <c r="R39" i="83"/>
  <c r="S39" i="83" s="1"/>
  <c r="R164" i="83"/>
  <c r="S164" i="83" s="1"/>
  <c r="P140" i="83"/>
  <c r="R140" i="83" s="1"/>
  <c r="S140" i="83" s="1"/>
  <c r="R134" i="83"/>
  <c r="S134" i="83" s="1"/>
  <c r="P36" i="83"/>
  <c r="L122" i="83"/>
  <c r="Q122" i="83" s="1"/>
  <c r="R163" i="83"/>
  <c r="S163" i="83" s="1"/>
  <c r="L159" i="84"/>
  <c r="M159" i="84" s="1"/>
  <c r="L176" i="84"/>
  <c r="M176" i="84" s="1"/>
  <c r="P175" i="83"/>
  <c r="R175" i="83" s="1"/>
  <c r="S175" i="83" s="1"/>
  <c r="P56" i="83"/>
  <c r="R56" i="83" s="1"/>
  <c r="S56" i="83" s="1"/>
  <c r="P44" i="83"/>
  <c r="L167" i="84"/>
  <c r="M167" i="84" s="1"/>
  <c r="P182" i="83"/>
  <c r="R171" i="83"/>
  <c r="S171" i="83" s="1"/>
  <c r="P145" i="83"/>
  <c r="R145" i="83" s="1"/>
  <c r="S145" i="83" s="1"/>
  <c r="P127" i="83"/>
  <c r="R127" i="83" s="1"/>
  <c r="S127" i="83" s="1"/>
  <c r="P122" i="83"/>
  <c r="P120" i="83"/>
  <c r="R120" i="83" s="1"/>
  <c r="S120" i="83" s="1"/>
  <c r="P80" i="83"/>
  <c r="P68" i="83"/>
  <c r="R68" i="83" s="1"/>
  <c r="S68" i="83" s="1"/>
  <c r="P61" i="83"/>
  <c r="P54" i="83"/>
  <c r="R54" i="83" s="1"/>
  <c r="S54" i="83" s="1"/>
  <c r="P42" i="83"/>
  <c r="P32" i="83"/>
  <c r="P20" i="83"/>
  <c r="R20" i="83" s="1"/>
  <c r="S20" i="83" s="1"/>
  <c r="Q186" i="83"/>
  <c r="R186" i="83" s="1"/>
  <c r="S186" i="83" s="1"/>
  <c r="P180" i="83"/>
  <c r="P152" i="83"/>
  <c r="R152" i="83" s="1"/>
  <c r="S152" i="83" s="1"/>
  <c r="P150" i="83"/>
  <c r="R150" i="83" s="1"/>
  <c r="S150" i="83" s="1"/>
  <c r="P85" i="83"/>
  <c r="P78" i="83"/>
  <c r="R78" i="83" s="1"/>
  <c r="S78" i="83" s="1"/>
  <c r="P73" i="83"/>
  <c r="R73" i="83" s="1"/>
  <c r="S73" i="83" s="1"/>
  <c r="P66" i="83"/>
  <c r="R66" i="83" s="1"/>
  <c r="S66" i="83" s="1"/>
  <c r="R57" i="83"/>
  <c r="S57" i="83" s="1"/>
  <c r="P49" i="83"/>
  <c r="R49" i="83" s="1"/>
  <c r="S49" i="83" s="1"/>
  <c r="R45" i="83"/>
  <c r="S45" i="83" s="1"/>
  <c r="P37" i="83"/>
  <c r="R37" i="83" s="1"/>
  <c r="S37" i="83" s="1"/>
  <c r="R33" i="83"/>
  <c r="S33" i="83" s="1"/>
  <c r="P30" i="83"/>
  <c r="R30" i="83" s="1"/>
  <c r="S30" i="83" s="1"/>
  <c r="P25" i="83"/>
  <c r="R25" i="83" s="1"/>
  <c r="S25" i="83" s="1"/>
  <c r="P13" i="83"/>
  <c r="R13" i="83" s="1"/>
  <c r="S13" i="83" s="1"/>
  <c r="R115" i="83"/>
  <c r="S115" i="83" s="1"/>
  <c r="R87" i="83"/>
  <c r="S87" i="83" s="1"/>
  <c r="K134" i="83"/>
  <c r="R111" i="83"/>
  <c r="S111" i="83" s="1"/>
  <c r="L147" i="84"/>
  <c r="M147" i="84" s="1"/>
  <c r="P157" i="83"/>
  <c r="R81" i="83"/>
  <c r="S81" i="83" s="1"/>
  <c r="Q38" i="83"/>
  <c r="P18" i="83"/>
  <c r="R18" i="83" s="1"/>
  <c r="S18" i="83" s="1"/>
  <c r="R138" i="83"/>
  <c r="S138" i="83" s="1"/>
  <c r="R110" i="83"/>
  <c r="S110" i="83" s="1"/>
  <c r="L164" i="84"/>
  <c r="M164" i="84" s="1"/>
  <c r="P104" i="83"/>
  <c r="P169" i="83"/>
  <c r="P162" i="83"/>
  <c r="R162" i="83" s="1"/>
  <c r="S162" i="83" s="1"/>
  <c r="P139" i="83"/>
  <c r="R139" i="83" s="1"/>
  <c r="S139" i="83" s="1"/>
  <c r="P116" i="83"/>
  <c r="R116" i="83" s="1"/>
  <c r="S116" i="83" s="1"/>
  <c r="P102" i="83"/>
  <c r="R102" i="83" s="1"/>
  <c r="S102" i="83" s="1"/>
  <c r="P97" i="83"/>
  <c r="R97" i="83" s="1"/>
  <c r="S97" i="83" s="1"/>
  <c r="P90" i="83"/>
  <c r="R90" i="83" s="1"/>
  <c r="S90" i="83" s="1"/>
  <c r="L121" i="84"/>
  <c r="M121" i="84" s="1"/>
  <c r="K164" i="83"/>
  <c r="P109" i="83"/>
  <c r="R109" i="83" s="1"/>
  <c r="S109" i="83" s="1"/>
  <c r="P92" i="83"/>
  <c r="Q163" i="83"/>
  <c r="P114" i="83"/>
  <c r="R114" i="83" s="1"/>
  <c r="S114" i="83" s="1"/>
  <c r="R62" i="83"/>
  <c r="S62" i="83" s="1"/>
  <c r="L172" i="84"/>
  <c r="M172" i="84" s="1"/>
  <c r="L185" i="83"/>
  <c r="Q185" i="83" s="1"/>
  <c r="L179" i="84"/>
  <c r="P168" i="83"/>
  <c r="P96" i="83"/>
  <c r="R96" i="83" s="1"/>
  <c r="S96" i="83" s="1"/>
  <c r="P132" i="83"/>
  <c r="R132" i="83" s="1"/>
  <c r="S132" i="83" s="1"/>
  <c r="R43" i="83"/>
  <c r="S43" i="83" s="1"/>
  <c r="Q19" i="83"/>
  <c r="P181" i="83"/>
  <c r="P151" i="83"/>
  <c r="R151" i="83" s="1"/>
  <c r="S151" i="83" s="1"/>
  <c r="P79" i="83"/>
  <c r="R79" i="83" s="1"/>
  <c r="S79" i="83" s="1"/>
  <c r="P67" i="83"/>
  <c r="R67" i="83" s="1"/>
  <c r="S67" i="83" s="1"/>
  <c r="P50" i="83"/>
  <c r="R50" i="83" s="1"/>
  <c r="S50" i="83" s="1"/>
  <c r="P38" i="83"/>
  <c r="P31" i="83"/>
  <c r="R31" i="83" s="1"/>
  <c r="S31" i="83" s="1"/>
  <c r="P26" i="83"/>
  <c r="R26" i="83" s="1"/>
  <c r="S26" i="83" s="1"/>
  <c r="L168" i="84"/>
  <c r="M168" i="84" s="1"/>
  <c r="Q104" i="83"/>
  <c r="R182" i="83"/>
  <c r="S182" i="83" s="1"/>
  <c r="R156" i="83"/>
  <c r="S156" i="83" s="1"/>
  <c r="R128" i="83"/>
  <c r="S128" i="83" s="1"/>
  <c r="R85" i="83"/>
  <c r="S85" i="83" s="1"/>
  <c r="R80" i="83"/>
  <c r="S80" i="83" s="1"/>
  <c r="R23" i="83"/>
  <c r="S23" i="83" s="1"/>
  <c r="R21" i="83"/>
  <c r="S21" i="83" s="1"/>
  <c r="R126" i="83"/>
  <c r="S126" i="83" s="1"/>
  <c r="R169" i="83"/>
  <c r="S169" i="83" s="1"/>
  <c r="R159" i="83"/>
  <c r="S159" i="83" s="1"/>
  <c r="Q157" i="83"/>
  <c r="R157" i="83" s="1"/>
  <c r="S157" i="83" s="1"/>
  <c r="R144" i="83"/>
  <c r="S144" i="83" s="1"/>
  <c r="R98" i="83"/>
  <c r="S98" i="83" s="1"/>
  <c r="R74" i="83"/>
  <c r="S74" i="83" s="1"/>
  <c r="R32" i="83"/>
  <c r="S32" i="83" s="1"/>
  <c r="R19" i="83"/>
  <c r="S19" i="83" s="1"/>
  <c r="R61" i="83"/>
  <c r="S61" i="83" s="1"/>
  <c r="R14" i="83"/>
  <c r="S14" i="83" s="1"/>
  <c r="R103" i="83"/>
  <c r="S103" i="83" s="1"/>
  <c r="Q42" i="83"/>
  <c r="R42" i="83" s="1"/>
  <c r="S42" i="83" s="1"/>
  <c r="R36" i="83"/>
  <c r="S36" i="83" s="1"/>
  <c r="R133" i="83"/>
  <c r="S133" i="83" s="1"/>
  <c r="R181" i="83"/>
  <c r="S181" i="83" s="1"/>
  <c r="R99" i="83"/>
  <c r="S99" i="83" s="1"/>
  <c r="Q84" i="83"/>
  <c r="R84" i="83" s="1"/>
  <c r="S84" i="83" s="1"/>
  <c r="R75" i="83"/>
  <c r="S75" i="83" s="1"/>
  <c r="R55" i="83"/>
  <c r="S55" i="83" s="1"/>
  <c r="R113" i="83"/>
  <c r="S113" i="83" s="1"/>
  <c r="R158" i="83"/>
  <c r="S158" i="83" s="1"/>
  <c r="Q173" i="83"/>
  <c r="R146" i="83"/>
  <c r="S146" i="83" s="1"/>
  <c r="R121" i="83"/>
  <c r="S121" i="83" s="1"/>
  <c r="R108" i="83"/>
  <c r="S108" i="83" s="1"/>
  <c r="R92" i="83"/>
  <c r="S92" i="83" s="1"/>
  <c r="R72" i="83"/>
  <c r="S72" i="83" s="1"/>
  <c r="Q179" i="83"/>
  <c r="R170" i="83"/>
  <c r="S170" i="83" s="1"/>
  <c r="R44" i="83"/>
  <c r="S44" i="83" s="1"/>
  <c r="R59" i="83"/>
  <c r="S59" i="83" s="1"/>
  <c r="R105" i="83"/>
  <c r="S105" i="83" s="1"/>
  <c r="R51" i="83"/>
  <c r="S51" i="83" s="1"/>
  <c r="R15" i="83"/>
  <c r="S15" i="83" s="1"/>
  <c r="R24" i="83"/>
  <c r="S24" i="83" s="1"/>
  <c r="R76" i="83"/>
  <c r="S76" i="83" s="1"/>
  <c r="R180" i="83"/>
  <c r="S180" i="83" s="1"/>
  <c r="R165" i="83"/>
  <c r="S165" i="83" s="1"/>
  <c r="R154" i="83"/>
  <c r="S154" i="83" s="1"/>
  <c r="R148" i="83"/>
  <c r="S148" i="83" s="1"/>
  <c r="R142" i="83"/>
  <c r="S142" i="83" s="1"/>
  <c r="R124" i="83"/>
  <c r="S124" i="83" s="1"/>
  <c r="R95" i="83"/>
  <c r="S95" i="83" s="1"/>
  <c r="R93" i="83"/>
  <c r="S93" i="83" s="1"/>
  <c r="R60" i="83"/>
  <c r="S60" i="83" s="1"/>
  <c r="R47" i="83"/>
  <c r="S47" i="83" s="1"/>
  <c r="R160" i="83"/>
  <c r="S160" i="83" s="1"/>
  <c r="R112" i="83"/>
  <c r="S112" i="83" s="1"/>
  <c r="R29" i="83"/>
  <c r="S29" i="83" s="1"/>
  <c r="R174" i="83"/>
  <c r="S174" i="83" s="1"/>
  <c r="R118" i="83"/>
  <c r="S118" i="83" s="1"/>
  <c r="R48" i="83"/>
  <c r="S48" i="83" s="1"/>
  <c r="R12" i="83"/>
  <c r="S12" i="83" s="1"/>
  <c r="R168" i="83"/>
  <c r="S168" i="83" s="1"/>
  <c r="R153" i="83"/>
  <c r="S153" i="83" s="1"/>
  <c r="R149" i="83"/>
  <c r="S149" i="83" s="1"/>
  <c r="R147" i="83"/>
  <c r="S147" i="83" s="1"/>
  <c r="R143" i="83"/>
  <c r="S143" i="83" s="1"/>
  <c r="R141" i="83"/>
  <c r="S141" i="83" s="1"/>
  <c r="R135" i="83"/>
  <c r="S135" i="83" s="1"/>
  <c r="R129" i="83"/>
  <c r="S129" i="83" s="1"/>
  <c r="R123" i="83"/>
  <c r="S123" i="83" s="1"/>
  <c r="R69" i="83"/>
  <c r="S69" i="83" s="1"/>
  <c r="R52" i="83"/>
  <c r="S52" i="83" s="1"/>
  <c r="R16" i="83"/>
  <c r="S16" i="83" s="1"/>
  <c r="R88" i="83"/>
  <c r="S88" i="83" s="1"/>
  <c r="R64" i="83"/>
  <c r="S64" i="83" s="1"/>
  <c r="R119" i="83"/>
  <c r="S119" i="83" s="1"/>
  <c r="R117" i="83"/>
  <c r="S117" i="83" s="1"/>
  <c r="K167" i="83"/>
  <c r="K143" i="83"/>
  <c r="K113" i="83"/>
  <c r="K95" i="83"/>
  <c r="K47" i="83"/>
  <c r="K23" i="83"/>
  <c r="K142" i="83"/>
  <c r="K112" i="83"/>
  <c r="K64" i="83"/>
  <c r="K183" i="83"/>
  <c r="K177" i="83"/>
  <c r="K171" i="83"/>
  <c r="K165" i="83"/>
  <c r="K159" i="83"/>
  <c r="K153" i="83"/>
  <c r="K147" i="83"/>
  <c r="K141" i="83"/>
  <c r="K135" i="83"/>
  <c r="K129" i="83"/>
  <c r="K123" i="83"/>
  <c r="K117" i="83"/>
  <c r="K111" i="83"/>
  <c r="K105" i="83"/>
  <c r="K99" i="83"/>
  <c r="K93" i="83"/>
  <c r="K87" i="83"/>
  <c r="K81" i="83"/>
  <c r="K75" i="83"/>
  <c r="K69" i="83"/>
  <c r="K63" i="83"/>
  <c r="K57" i="83"/>
  <c r="K51" i="83"/>
  <c r="K45" i="83"/>
  <c r="K39" i="83"/>
  <c r="K33" i="83"/>
  <c r="K27" i="83"/>
  <c r="K21" i="83"/>
  <c r="K15" i="83"/>
  <c r="K154" i="83"/>
  <c r="P185" i="83"/>
  <c r="P179" i="83"/>
  <c r="P173" i="83"/>
  <c r="P161" i="83"/>
  <c r="R161" i="83" s="1"/>
  <c r="S161" i="83" s="1"/>
  <c r="P155" i="83"/>
  <c r="R155" i="83" s="1"/>
  <c r="S155" i="83" s="1"/>
  <c r="P149" i="83"/>
  <c r="P137" i="83"/>
  <c r="R137" i="83" s="1"/>
  <c r="S137" i="83" s="1"/>
  <c r="P131" i="83"/>
  <c r="R131" i="83" s="1"/>
  <c r="S131" i="83" s="1"/>
  <c r="P125" i="83"/>
  <c r="R125" i="83" s="1"/>
  <c r="S125" i="83" s="1"/>
  <c r="P119" i="83"/>
  <c r="P107" i="83"/>
  <c r="R107" i="83" s="1"/>
  <c r="S107" i="83" s="1"/>
  <c r="P101" i="83"/>
  <c r="R101" i="83" s="1"/>
  <c r="S101" i="83" s="1"/>
  <c r="P89" i="83"/>
  <c r="R89" i="83" s="1"/>
  <c r="S89" i="83" s="1"/>
  <c r="P83" i="83"/>
  <c r="R83" i="83" s="1"/>
  <c r="S83" i="83" s="1"/>
  <c r="P77" i="83"/>
  <c r="R77" i="83" s="1"/>
  <c r="S77" i="83" s="1"/>
  <c r="P71" i="83"/>
  <c r="R71" i="83" s="1"/>
  <c r="S71" i="83" s="1"/>
  <c r="P65" i="83"/>
  <c r="R65" i="83" s="1"/>
  <c r="S65" i="83" s="1"/>
  <c r="P59" i="83"/>
  <c r="P53" i="83"/>
  <c r="R53" i="83" s="1"/>
  <c r="S53" i="83" s="1"/>
  <c r="P41" i="83"/>
  <c r="R41" i="83" s="1"/>
  <c r="S41" i="83" s="1"/>
  <c r="P35" i="83"/>
  <c r="R35" i="83" s="1"/>
  <c r="S35" i="83" s="1"/>
  <c r="P29" i="83"/>
  <c r="P17" i="83"/>
  <c r="R17" i="83" s="1"/>
  <c r="S17" i="83" s="1"/>
  <c r="P11" i="83"/>
  <c r="R11" i="83" s="1"/>
  <c r="S11" i="83" s="1"/>
  <c r="K172" i="83"/>
  <c r="K160" i="83"/>
  <c r="K148" i="83"/>
  <c r="K124" i="83"/>
  <c r="K88" i="83"/>
  <c r="K16" i="83"/>
  <c r="K118" i="83"/>
  <c r="K76" i="83"/>
  <c r="K52" i="83"/>
  <c r="P178" i="83"/>
  <c r="R178" i="83" s="1"/>
  <c r="S178" i="83" s="1"/>
  <c r="P136" i="83"/>
  <c r="R136" i="83" s="1"/>
  <c r="S136" i="83" s="1"/>
  <c r="P130" i="83"/>
  <c r="R130" i="83" s="1"/>
  <c r="S130" i="83" s="1"/>
  <c r="P106" i="83"/>
  <c r="R106" i="83" s="1"/>
  <c r="S106" i="83" s="1"/>
  <c r="P100" i="83"/>
  <c r="R100" i="83" s="1"/>
  <c r="S100" i="83" s="1"/>
  <c r="P94" i="83"/>
  <c r="R94" i="83" s="1"/>
  <c r="S94" i="83" s="1"/>
  <c r="P82" i="83"/>
  <c r="R82" i="83" s="1"/>
  <c r="S82" i="83" s="1"/>
  <c r="P70" i="83"/>
  <c r="R70" i="83" s="1"/>
  <c r="S70" i="83" s="1"/>
  <c r="P58" i="83"/>
  <c r="R58" i="83" s="1"/>
  <c r="S58" i="83" s="1"/>
  <c r="P46" i="83"/>
  <c r="R46" i="83" s="1"/>
  <c r="S46" i="83" s="1"/>
  <c r="P40" i="83"/>
  <c r="R40" i="83" s="1"/>
  <c r="S40" i="83" s="1"/>
  <c r="P34" i="83"/>
  <c r="R34" i="83" s="1"/>
  <c r="S34" i="83" s="1"/>
  <c r="P28" i="83"/>
  <c r="R28" i="83" s="1"/>
  <c r="S28" i="83" s="1"/>
  <c r="P22" i="83"/>
  <c r="R22" i="83" s="1"/>
  <c r="S22" i="83" s="1"/>
  <c r="K184" i="83"/>
  <c r="P166" i="83"/>
  <c r="R166" i="83" s="1"/>
  <c r="S166" i="83" s="1"/>
  <c r="J187" i="83"/>
  <c r="M187" i="83"/>
  <c r="C215" i="83" s="1"/>
  <c r="C216" i="83" s="1"/>
  <c r="K10" i="83"/>
  <c r="L10" i="83" s="1"/>
  <c r="L131" i="84"/>
  <c r="M131" i="84" s="1"/>
  <c r="L153" i="84"/>
  <c r="M153" i="84" s="1"/>
  <c r="L127" i="84"/>
  <c r="M127" i="84" s="1"/>
  <c r="I111" i="84"/>
  <c r="L161" i="84"/>
  <c r="M161" i="84" s="1"/>
  <c r="H200" i="84"/>
  <c r="L146" i="84"/>
  <c r="M146" i="84" s="1"/>
  <c r="L174" i="84"/>
  <c r="M174" i="84" s="1"/>
  <c r="L145" i="84"/>
  <c r="M145" i="84" s="1"/>
  <c r="L177" i="84"/>
  <c r="M177" i="84" s="1"/>
  <c r="L129" i="84"/>
  <c r="M129" i="84" s="1"/>
  <c r="L154" i="84"/>
  <c r="M154" i="84" s="1"/>
  <c r="L152" i="84"/>
  <c r="M152" i="84" s="1"/>
  <c r="L133" i="84"/>
  <c r="M133" i="84" s="1"/>
  <c r="L132" i="84"/>
  <c r="M132" i="84" s="1"/>
  <c r="L165" i="84"/>
  <c r="M165" i="84" s="1"/>
  <c r="I200" i="84"/>
  <c r="L148" i="84"/>
  <c r="M148" i="84" s="1"/>
  <c r="L163" i="84"/>
  <c r="M163" i="84" s="1"/>
  <c r="L155" i="84"/>
  <c r="M155" i="84" s="1"/>
  <c r="L122" i="84"/>
  <c r="M122" i="84" s="1"/>
  <c r="L123" i="84"/>
  <c r="M123" i="84" s="1"/>
  <c r="L170" i="84"/>
  <c r="M170" i="84" s="1"/>
  <c r="L137" i="84"/>
  <c r="M137" i="84" s="1"/>
  <c r="L157" i="84"/>
  <c r="M157" i="84" s="1"/>
  <c r="L175" i="84"/>
  <c r="M175" i="84" s="1"/>
  <c r="L141" i="84"/>
  <c r="M141" i="84" s="1"/>
  <c r="L126" i="84"/>
  <c r="M126" i="84" s="1"/>
  <c r="L151" i="84"/>
  <c r="M151" i="84" s="1"/>
  <c r="L135" i="84"/>
  <c r="M135" i="84" s="1"/>
  <c r="L139" i="84"/>
  <c r="M139" i="84" s="1"/>
  <c r="L142" i="84"/>
  <c r="M142" i="84" s="1"/>
  <c r="L149" i="84"/>
  <c r="M149" i="84" s="1"/>
  <c r="E200" i="84"/>
  <c r="G76" i="84"/>
  <c r="L134" i="84"/>
  <c r="M134" i="84" s="1"/>
  <c r="G93" i="84"/>
  <c r="G104" i="84"/>
  <c r="L156" i="84"/>
  <c r="M156" i="84" s="1"/>
  <c r="L169" i="84"/>
  <c r="M169" i="84" s="1"/>
  <c r="D200" i="84"/>
  <c r="J140" i="84"/>
  <c r="G111" i="84"/>
  <c r="C200" i="84"/>
  <c r="B112" i="84"/>
  <c r="L130" i="84"/>
  <c r="M130" i="84" s="1"/>
  <c r="L143" i="84"/>
  <c r="M143" i="84" s="1"/>
  <c r="K194" i="84"/>
  <c r="L124" i="84"/>
  <c r="M124" i="84" s="1"/>
  <c r="K120" i="84"/>
  <c r="L173" i="84"/>
  <c r="M173" i="84" s="1"/>
  <c r="L138" i="84"/>
  <c r="M138" i="84" s="1"/>
  <c r="L144" i="84"/>
  <c r="M144" i="84" s="1"/>
  <c r="L136" i="84"/>
  <c r="M136" i="84" s="1"/>
  <c r="L162" i="84"/>
  <c r="M162" i="84" s="1"/>
  <c r="L125" i="84"/>
  <c r="M125" i="84" s="1"/>
  <c r="K140" i="84"/>
  <c r="K180" i="84"/>
  <c r="G200" i="84"/>
  <c r="G80" i="84"/>
  <c r="L171" i="84"/>
  <c r="M171" i="84" s="1"/>
  <c r="J120" i="84"/>
  <c r="L128" i="84"/>
  <c r="M128" i="84" s="1"/>
  <c r="L150" i="84"/>
  <c r="M150" i="84" s="1"/>
  <c r="M198" i="84"/>
  <c r="O198" i="84"/>
  <c r="P198" i="84" s="1"/>
  <c r="L181" i="84"/>
  <c r="F180" i="84"/>
  <c r="F194" i="84"/>
  <c r="F120" i="84"/>
  <c r="F140" i="84"/>
  <c r="L195" i="84"/>
  <c r="R122" i="83" l="1"/>
  <c r="S122" i="83" s="1"/>
  <c r="R179" i="83"/>
  <c r="S179" i="83" s="1"/>
  <c r="R38" i="83"/>
  <c r="S38" i="83" s="1"/>
  <c r="L172" i="83"/>
  <c r="Q172" i="83" s="1"/>
  <c r="R172" i="83" s="1"/>
  <c r="S172" i="83" s="1"/>
  <c r="L63" i="83"/>
  <c r="R185" i="83"/>
  <c r="S185" i="83" s="1"/>
  <c r="R104" i="83"/>
  <c r="S104" i="83" s="1"/>
  <c r="L184" i="83"/>
  <c r="Q184" i="83" s="1"/>
  <c r="R184" i="83" s="1"/>
  <c r="S184" i="83" s="1"/>
  <c r="L177" i="83"/>
  <c r="Q177" i="83" s="1"/>
  <c r="R177" i="83" s="1"/>
  <c r="S177" i="83" s="1"/>
  <c r="L27" i="83"/>
  <c r="Q27" i="83" s="1"/>
  <c r="R27" i="83" s="1"/>
  <c r="S27" i="83" s="1"/>
  <c r="L183" i="83"/>
  <c r="Q183" i="83" s="1"/>
  <c r="R183" i="83" s="1"/>
  <c r="S183" i="83" s="1"/>
  <c r="L167" i="83"/>
  <c r="Q167" i="83" s="1"/>
  <c r="R167" i="83" s="1"/>
  <c r="S167" i="83" s="1"/>
  <c r="R173" i="83"/>
  <c r="S173" i="83" s="1"/>
  <c r="J200" i="84"/>
  <c r="K187" i="83"/>
  <c r="M140" i="84"/>
  <c r="K200" i="84"/>
  <c r="C201" i="84"/>
  <c r="F200" i="84"/>
  <c r="M120" i="84"/>
  <c r="M201" i="84"/>
  <c r="L140" i="84"/>
  <c r="L120" i="84"/>
  <c r="M181" i="84"/>
  <c r="M180" i="84" s="1"/>
  <c r="L180" i="84"/>
  <c r="M195" i="84"/>
  <c r="L194" i="84"/>
  <c r="L187" i="83" l="1"/>
  <c r="Q63" i="83"/>
  <c r="R63" i="83" s="1"/>
  <c r="S63" i="83" s="1"/>
  <c r="L200" i="84"/>
  <c r="M194" i="84"/>
  <c r="M200" i="84" s="1"/>
  <c r="G34" i="84" l="1"/>
  <c r="G35" i="84"/>
  <c r="G32" i="84"/>
  <c r="G33" i="84"/>
  <c r="G56" i="84" l="1"/>
  <c r="G112" i="84" s="1"/>
  <c r="G11" i="75" l="1"/>
  <c r="H16" i="81"/>
  <c r="B16" i="81"/>
  <c r="R16" i="81" s="1"/>
  <c r="H15" i="81"/>
  <c r="B15" i="81"/>
  <c r="Q15" i="81" s="1"/>
  <c r="H14" i="81"/>
  <c r="B14" i="81"/>
  <c r="Q14" i="81" s="1"/>
  <c r="H13" i="81"/>
  <c r="B13" i="81"/>
  <c r="Q13" i="81" s="1"/>
  <c r="H12" i="81"/>
  <c r="B12" i="81"/>
  <c r="R12" i="81" s="1"/>
  <c r="R11" i="81"/>
  <c r="Q11" i="81"/>
  <c r="M11" i="81"/>
  <c r="N11" i="81" s="1"/>
  <c r="O11" i="81" s="1"/>
  <c r="T11" i="81" s="1"/>
  <c r="H11" i="81"/>
  <c r="P11" i="81" s="1"/>
  <c r="R10" i="81"/>
  <c r="Q10" i="81"/>
  <c r="M10" i="81"/>
  <c r="S10" i="81" s="1"/>
  <c r="H10" i="81"/>
  <c r="P10" i="81" s="1"/>
  <c r="R9" i="81"/>
  <c r="Q9" i="81"/>
  <c r="H9" i="81"/>
  <c r="P9" i="81" s="1"/>
  <c r="H8" i="81"/>
  <c r="B8" i="81"/>
  <c r="Q8" i="81" s="1"/>
  <c r="I7" i="81"/>
  <c r="R7" i="81" s="1"/>
  <c r="H7" i="81"/>
  <c r="M7" i="81" s="1"/>
  <c r="S7" i="81" s="1"/>
  <c r="B7" i="81"/>
  <c r="P13" i="81" l="1"/>
  <c r="P8" i="81"/>
  <c r="P14" i="81"/>
  <c r="P7" i="81"/>
  <c r="M8" i="81"/>
  <c r="S8" i="81" s="1"/>
  <c r="P15" i="81"/>
  <c r="R14" i="81"/>
  <c r="M13" i="81"/>
  <c r="S13" i="81" s="1"/>
  <c r="M15" i="81"/>
  <c r="N15" i="81" s="1"/>
  <c r="O15" i="81" s="1"/>
  <c r="T15" i="81" s="1"/>
  <c r="M9" i="81"/>
  <c r="S11" i="81"/>
  <c r="U11" i="81" s="1"/>
  <c r="Q7" i="81"/>
  <c r="R8" i="81"/>
  <c r="N10" i="81"/>
  <c r="O10" i="81" s="1"/>
  <c r="T10" i="81" s="1"/>
  <c r="U10" i="81" s="1"/>
  <c r="M12" i="81"/>
  <c r="S12" i="81" s="1"/>
  <c r="Q12" i="81"/>
  <c r="N13" i="81"/>
  <c r="O13" i="81" s="1"/>
  <c r="T13" i="81" s="1"/>
  <c r="R13" i="81"/>
  <c r="M16" i="81"/>
  <c r="S16" i="81" s="1"/>
  <c r="Q16" i="81"/>
  <c r="P12" i="81"/>
  <c r="P16" i="81"/>
  <c r="M14" i="81"/>
  <c r="R15" i="81"/>
  <c r="S15" i="81" l="1"/>
  <c r="U15" i="81" s="1"/>
  <c r="N8" i="81"/>
  <c r="O8" i="81" s="1"/>
  <c r="T8" i="81" s="1"/>
  <c r="U8" i="81" s="1"/>
  <c r="U13" i="81"/>
  <c r="N12" i="81"/>
  <c r="O12" i="81" s="1"/>
  <c r="T12" i="81" s="1"/>
  <c r="U12" i="81" s="1"/>
  <c r="U28" i="81" s="1"/>
  <c r="D34" i="81" s="1"/>
  <c r="N9" i="81"/>
  <c r="O9" i="81" s="1"/>
  <c r="T9" i="81" s="1"/>
  <c r="S9" i="81"/>
  <c r="N14" i="81"/>
  <c r="O14" i="81" s="1"/>
  <c r="T14" i="81" s="1"/>
  <c r="S14" i="81"/>
  <c r="N16" i="81"/>
  <c r="O16" i="81" s="1"/>
  <c r="T16" i="81" s="1"/>
  <c r="U16" i="81" s="1"/>
  <c r="N7" i="81"/>
  <c r="O7" i="81" s="1"/>
  <c r="T7" i="81" s="1"/>
  <c r="U7" i="81" s="1"/>
  <c r="U9" i="81" l="1"/>
  <c r="U27" i="81" s="1"/>
  <c r="U14" i="81"/>
  <c r="H16" i="82" l="1"/>
  <c r="M16" i="82" s="1"/>
  <c r="B16" i="82"/>
  <c r="Q16" i="82" s="1"/>
  <c r="H15" i="82"/>
  <c r="M15" i="82" s="1"/>
  <c r="B15" i="82"/>
  <c r="R15" i="82" s="1"/>
  <c r="R14" i="82"/>
  <c r="Q14" i="82"/>
  <c r="H14" i="82"/>
  <c r="M14" i="82" s="1"/>
  <c r="R13" i="82"/>
  <c r="Q13" i="82"/>
  <c r="H13" i="82"/>
  <c r="M13" i="82" s="1"/>
  <c r="R12" i="82"/>
  <c r="Q12" i="82"/>
  <c r="H12" i="82"/>
  <c r="R11" i="82"/>
  <c r="Q11" i="82"/>
  <c r="H11" i="82"/>
  <c r="R10" i="82"/>
  <c r="Q10" i="82"/>
  <c r="H10" i="82"/>
  <c r="R9" i="82"/>
  <c r="Q9" i="82"/>
  <c r="H9" i="82"/>
  <c r="R8" i="82"/>
  <c r="Q8" i="82"/>
  <c r="H8" i="82"/>
  <c r="N13" i="82" l="1"/>
  <c r="O13" i="82" s="1"/>
  <c r="T13" i="82" s="1"/>
  <c r="U13" i="82" s="1"/>
  <c r="N14" i="82"/>
  <c r="O14" i="82" s="1"/>
  <c r="T14" i="82" s="1"/>
  <c r="U14" i="82" s="1"/>
  <c r="N8" i="82"/>
  <c r="O8" i="82" s="1"/>
  <c r="M8" i="82"/>
  <c r="M9" i="82"/>
  <c r="N9" i="82" s="1"/>
  <c r="O9" i="82" s="1"/>
  <c r="T9" i="82" s="1"/>
  <c r="U9" i="82" s="1"/>
  <c r="M10" i="82"/>
  <c r="N10" i="82" s="1"/>
  <c r="O10" i="82" s="1"/>
  <c r="T10" i="82" s="1"/>
  <c r="U10" i="82" s="1"/>
  <c r="M11" i="82"/>
  <c r="N11" i="82" s="1"/>
  <c r="O11" i="82" s="1"/>
  <c r="T11" i="82" s="1"/>
  <c r="U11" i="82" s="1"/>
  <c r="M12" i="82"/>
  <c r="N12" i="82" s="1"/>
  <c r="O12" i="82" s="1"/>
  <c r="T12" i="82" s="1"/>
  <c r="U12" i="82" s="1"/>
  <c r="Q15" i="82"/>
  <c r="N16" i="82"/>
  <c r="O16" i="82" s="1"/>
  <c r="T16" i="82" s="1"/>
  <c r="N15" i="82"/>
  <c r="O15" i="82" s="1"/>
  <c r="T15" i="82" s="1"/>
  <c r="R16" i="82"/>
  <c r="T8" i="82" l="1"/>
  <c r="U8" i="82" s="1"/>
  <c r="U16" i="82"/>
  <c r="U15" i="82"/>
  <c r="G13" i="75" l="1"/>
  <c r="U29" i="81"/>
  <c r="D33" i="81" s="1"/>
  <c r="D35" i="81" l="1"/>
  <c r="F194" i="83"/>
  <c r="E194" i="83"/>
  <c r="D194" i="83"/>
  <c r="E38" i="28" l="1"/>
  <c r="D11" i="93"/>
  <c r="G11" i="93" s="1"/>
  <c r="I11" i="79"/>
  <c r="E80" i="28" s="1"/>
  <c r="F80" i="28" s="1"/>
  <c r="E11" i="79"/>
  <c r="D11" i="79"/>
  <c r="H11" i="92"/>
  <c r="G11" i="92"/>
  <c r="E11" i="92"/>
  <c r="D11" i="92"/>
  <c r="F11" i="92" l="1"/>
  <c r="F11" i="91"/>
  <c r="G11" i="91" s="1"/>
  <c r="F12" i="99"/>
  <c r="I11" i="92"/>
  <c r="J11" i="92"/>
  <c r="G12" i="99" l="1"/>
  <c r="F38" i="28"/>
  <c r="G17" i="100"/>
  <c r="H17" i="100" s="1"/>
  <c r="G16" i="100"/>
  <c r="H16" i="100" s="1"/>
  <c r="G15" i="100"/>
  <c r="H15" i="100" s="1"/>
  <c r="G14" i="100"/>
  <c r="H14" i="100" s="1"/>
  <c r="G13" i="100"/>
  <c r="H13" i="100" s="1"/>
  <c r="G12" i="100"/>
  <c r="H12" i="100" s="1"/>
  <c r="G11" i="100"/>
  <c r="H11" i="100" s="1"/>
  <c r="D21" i="82"/>
  <c r="C34" i="81"/>
  <c r="C33" i="81"/>
  <c r="E33" i="81" s="1"/>
  <c r="B35" i="81"/>
  <c r="H18" i="100" l="1"/>
  <c r="B34" i="81"/>
  <c r="G12" i="75"/>
  <c r="F13" i="75"/>
  <c r="D20" i="52"/>
  <c r="E13" i="17"/>
  <c r="J13" i="17"/>
  <c r="D18" i="46"/>
  <c r="F18" i="46" s="1"/>
  <c r="D9" i="46"/>
  <c r="F9" i="46" s="1"/>
  <c r="F19" i="46"/>
  <c r="F11" i="73"/>
  <c r="G11" i="73" s="1"/>
  <c r="B7" i="77" l="1"/>
  <c r="B7" i="26"/>
  <c r="B7" i="25"/>
  <c r="A7" i="52"/>
  <c r="A7" i="51"/>
  <c r="H26" i="17"/>
  <c r="I13" i="27" l="1"/>
  <c r="E13" i="27"/>
  <c r="F13" i="27" s="1"/>
  <c r="I14" i="27"/>
  <c r="E25" i="97"/>
  <c r="D20" i="51"/>
  <c r="F11" i="89"/>
  <c r="J13" i="27" l="1"/>
  <c r="G14" i="75"/>
  <c r="G15" i="75"/>
  <c r="H11" i="75" s="1"/>
  <c r="G16" i="75"/>
  <c r="G17" i="75"/>
  <c r="F12" i="75"/>
  <c r="F14" i="75"/>
  <c r="E84" i="28"/>
  <c r="V11" i="83" l="1"/>
  <c r="V12" i="83"/>
  <c r="V13" i="83"/>
  <c r="V14" i="83"/>
  <c r="V15" i="83"/>
  <c r="V16" i="83"/>
  <c r="V17" i="83"/>
  <c r="V18" i="83"/>
  <c r="V19" i="83"/>
  <c r="V20" i="83"/>
  <c r="V21" i="83"/>
  <c r="V22" i="83"/>
  <c r="V23" i="83"/>
  <c r="V24" i="83"/>
  <c r="V25" i="83"/>
  <c r="V26" i="83"/>
  <c r="V27" i="83"/>
  <c r="V28" i="83"/>
  <c r="V29" i="83"/>
  <c r="V30" i="83"/>
  <c r="V31" i="83"/>
  <c r="V32" i="83"/>
  <c r="V33" i="83"/>
  <c r="V34" i="83"/>
  <c r="V35" i="83"/>
  <c r="V36" i="83"/>
  <c r="V37" i="83"/>
  <c r="V38" i="83"/>
  <c r="V39" i="83"/>
  <c r="V40" i="83"/>
  <c r="V41" i="83"/>
  <c r="V42" i="83"/>
  <c r="V10" i="83"/>
  <c r="H212" i="84"/>
  <c r="F212" i="84"/>
  <c r="D212" i="84"/>
  <c r="D220" i="84" s="1"/>
  <c r="J208" i="84"/>
  <c r="B216" i="84"/>
  <c r="I216" i="84" s="1"/>
  <c r="B217" i="84"/>
  <c r="I217" i="84" s="1"/>
  <c r="B210" i="84"/>
  <c r="B209" i="84"/>
  <c r="B214" i="84"/>
  <c r="I214" i="84" s="1"/>
  <c r="B213" i="84"/>
  <c r="B207" i="84"/>
  <c r="K8" i="84"/>
  <c r="J8" i="84"/>
  <c r="L5" i="84"/>
  <c r="J5" i="84"/>
  <c r="L4" i="84"/>
  <c r="J4" i="84"/>
  <c r="M4" i="84" l="1"/>
  <c r="L8" i="84"/>
  <c r="C210" i="84"/>
  <c r="C209" i="84"/>
  <c r="C211" i="84"/>
  <c r="G211" i="84" s="1"/>
  <c r="C214" i="84"/>
  <c r="M5" i="84"/>
  <c r="B218" i="84"/>
  <c r="I218" i="84" s="1"/>
  <c r="B215" i="84"/>
  <c r="I215" i="84" s="1"/>
  <c r="C217" i="84"/>
  <c r="C213" i="84"/>
  <c r="G213" i="84" s="1"/>
  <c r="B211" i="84"/>
  <c r="E217" i="84" l="1"/>
  <c r="H217" i="84"/>
  <c r="G217" i="84"/>
  <c r="G210" i="84"/>
  <c r="J210" i="84" s="1"/>
  <c r="G209" i="84"/>
  <c r="J209" i="84" s="1"/>
  <c r="E214" i="84"/>
  <c r="J214" i="84" s="1"/>
  <c r="G214" i="84"/>
  <c r="H214" i="84"/>
  <c r="B212" i="84"/>
  <c r="I211" i="84"/>
  <c r="C216" i="84"/>
  <c r="I219" i="84"/>
  <c r="B219" i="84"/>
  <c r="I212" i="84"/>
  <c r="J217" i="84" l="1"/>
  <c r="B220" i="84"/>
  <c r="H216" i="84"/>
  <c r="G216" i="84"/>
  <c r="E216" i="84"/>
  <c r="I220" i="84"/>
  <c r="L203" i="84"/>
  <c r="J213" i="84"/>
  <c r="J211" i="84"/>
  <c r="J216" i="84" l="1"/>
  <c r="E215" i="84"/>
  <c r="E219" i="84" s="1"/>
  <c r="E220" i="84" s="1"/>
  <c r="C215" i="84"/>
  <c r="C219" i="84" l="1"/>
  <c r="H215" i="84"/>
  <c r="H219" i="84" s="1"/>
  <c r="H220" i="84" s="1"/>
  <c r="G215" i="84"/>
  <c r="G219" i="84" s="1"/>
  <c r="C218" i="84"/>
  <c r="E218" i="84" l="1"/>
  <c r="F218" i="84"/>
  <c r="F215" i="84" s="1"/>
  <c r="F219" i="84" s="1"/>
  <c r="F220" i="84" s="1"/>
  <c r="G218" i="84"/>
  <c r="H218" i="84"/>
  <c r="C207" i="84"/>
  <c r="G207" i="84" s="1"/>
  <c r="J218" i="84" l="1"/>
  <c r="J215" i="84"/>
  <c r="J219" i="84" s="1"/>
  <c r="E207" i="84"/>
  <c r="G212" i="84" s="1"/>
  <c r="G220" i="84" s="1"/>
  <c r="C212" i="84"/>
  <c r="C220" i="84" s="1"/>
  <c r="J207" i="84" l="1"/>
  <c r="K218" i="84" s="1"/>
  <c r="L218" i="84" s="1"/>
  <c r="E13" i="28" s="1"/>
  <c r="J212" i="84" l="1"/>
  <c r="J220" i="84" s="1"/>
  <c r="C194" i="83"/>
  <c r="G193" i="83"/>
  <c r="G192" i="83"/>
  <c r="N10" i="83"/>
  <c r="Q10" i="83"/>
  <c r="P187" i="83" l="1"/>
  <c r="G215" i="83" s="1"/>
  <c r="G216" i="83" s="1"/>
  <c r="O187" i="83"/>
  <c r="R10" i="83"/>
  <c r="Q187" i="83"/>
  <c r="I215" i="83" s="1"/>
  <c r="E215" i="83" l="1"/>
  <c r="E216" i="83" s="1"/>
  <c r="I216" i="83"/>
  <c r="R187" i="83"/>
  <c r="N187" i="83"/>
  <c r="J215" i="83" l="1"/>
  <c r="J216" i="83" s="1"/>
  <c r="S10" i="83"/>
  <c r="S187" i="83" s="1"/>
  <c r="G194" i="83" s="1"/>
  <c r="H194" i="83" l="1"/>
  <c r="E12" i="28" s="1"/>
  <c r="G36" i="97"/>
  <c r="H36" i="97" s="1"/>
  <c r="G37" i="97"/>
  <c r="H37" i="97" s="1"/>
  <c r="G38" i="97"/>
  <c r="H38" i="97" s="1"/>
  <c r="G39" i="97"/>
  <c r="H39" i="97" s="1"/>
  <c r="G18" i="97"/>
  <c r="H18" i="97" s="1"/>
  <c r="G19" i="97"/>
  <c r="H19" i="97" s="1"/>
  <c r="G12" i="97"/>
  <c r="H12" i="97" s="1"/>
  <c r="G13" i="97"/>
  <c r="H13" i="97" s="1"/>
  <c r="G14" i="97"/>
  <c r="H14" i="97" s="1"/>
  <c r="G15" i="97"/>
  <c r="H15" i="97" s="1"/>
  <c r="G16" i="97"/>
  <c r="H16" i="97" s="1"/>
  <c r="G17" i="97"/>
  <c r="H17" i="97" s="1"/>
  <c r="G20" i="97"/>
  <c r="H20" i="97" s="1"/>
  <c r="G21" i="97"/>
  <c r="H21" i="97" s="1"/>
  <c r="G22" i="97"/>
  <c r="H22" i="97" s="1"/>
  <c r="G23" i="97"/>
  <c r="H23" i="97" s="1"/>
  <c r="G24" i="97"/>
  <c r="H24" i="97" s="1"/>
  <c r="G25" i="97"/>
  <c r="H25" i="97" s="1"/>
  <c r="G26" i="97"/>
  <c r="H26" i="97" s="1"/>
  <c r="G27" i="97"/>
  <c r="H27" i="97" s="1"/>
  <c r="G28" i="97"/>
  <c r="H28" i="97" s="1"/>
  <c r="G29" i="97"/>
  <c r="H29" i="97" s="1"/>
  <c r="G30" i="97"/>
  <c r="H30" i="97" s="1"/>
  <c r="G31" i="97"/>
  <c r="H31" i="97" s="1"/>
  <c r="G32" i="97"/>
  <c r="H32" i="97" s="1"/>
  <c r="G33" i="97"/>
  <c r="H33" i="97" s="1"/>
  <c r="G34" i="97"/>
  <c r="H34" i="97" s="1"/>
  <c r="G35" i="97"/>
  <c r="H35" i="97" s="1"/>
  <c r="G11" i="97"/>
  <c r="H11" i="97" s="1"/>
  <c r="H40" i="97" l="1"/>
  <c r="E106" i="28" l="1"/>
  <c r="F16" i="38"/>
  <c r="G16" i="38" s="1"/>
  <c r="F106" i="28" l="1"/>
  <c r="C22" i="82"/>
  <c r="H7" i="82"/>
  <c r="P7" i="82" l="1"/>
  <c r="F15" i="74"/>
  <c r="I23" i="27"/>
  <c r="E23" i="27"/>
  <c r="F23" i="27" s="1"/>
  <c r="I22" i="27"/>
  <c r="E22" i="27"/>
  <c r="F22" i="27" s="1"/>
  <c r="I21" i="27"/>
  <c r="F21" i="27"/>
  <c r="E21" i="27"/>
  <c r="I20" i="27"/>
  <c r="E20" i="27"/>
  <c r="F20" i="27" s="1"/>
  <c r="J20" i="27" s="1"/>
  <c r="I19" i="27"/>
  <c r="E19" i="27"/>
  <c r="F19" i="27" s="1"/>
  <c r="I18" i="27"/>
  <c r="F18" i="27"/>
  <c r="E18" i="27"/>
  <c r="I17" i="27"/>
  <c r="E17" i="27"/>
  <c r="F17" i="27" s="1"/>
  <c r="I16" i="27"/>
  <c r="E16" i="27"/>
  <c r="F16" i="27" s="1"/>
  <c r="I15" i="27"/>
  <c r="F15" i="27"/>
  <c r="E15" i="27"/>
  <c r="E14" i="27"/>
  <c r="F14" i="27" s="1"/>
  <c r="J14" i="27" s="1"/>
  <c r="I12" i="27"/>
  <c r="E12" i="27"/>
  <c r="F12" i="27" s="1"/>
  <c r="J16" i="27" l="1"/>
  <c r="G15" i="74"/>
  <c r="E45" i="28" s="1"/>
  <c r="J15" i="27"/>
  <c r="J19" i="27"/>
  <c r="J23" i="27"/>
  <c r="J18" i="27"/>
  <c r="J22" i="27"/>
  <c r="J12" i="27"/>
  <c r="J17" i="27"/>
  <c r="J21" i="27"/>
  <c r="E90" i="28"/>
  <c r="E85" i="28"/>
  <c r="F17" i="96"/>
  <c r="G17" i="96" s="1"/>
  <c r="D19" i="96"/>
  <c r="F16" i="96"/>
  <c r="G16" i="96" s="1"/>
  <c r="F15" i="96"/>
  <c r="G15" i="96" s="1"/>
  <c r="F14" i="96"/>
  <c r="G14" i="96" s="1"/>
  <c r="F13" i="96"/>
  <c r="G13" i="96" s="1"/>
  <c r="F12" i="96"/>
  <c r="G12" i="96" s="1"/>
  <c r="F11" i="96"/>
  <c r="G11" i="96" s="1"/>
  <c r="I24" i="25"/>
  <c r="E24" i="25"/>
  <c r="F24" i="25" s="1"/>
  <c r="E11" i="25"/>
  <c r="F11" i="25" s="1"/>
  <c r="G18" i="96" l="1"/>
  <c r="E58" i="28" s="1"/>
  <c r="J24" i="25"/>
  <c r="F20" i="51"/>
  <c r="G20" i="51" s="1"/>
  <c r="G21" i="51" s="1"/>
  <c r="E19" i="28" s="1"/>
  <c r="J30" i="18"/>
  <c r="F30" i="18"/>
  <c r="N30" i="18" s="1"/>
  <c r="M29" i="18"/>
  <c r="F28" i="18"/>
  <c r="N28" i="18" s="1"/>
  <c r="F25" i="18"/>
  <c r="J26" i="18"/>
  <c r="J27" i="18"/>
  <c r="J28" i="18"/>
  <c r="O28" i="18" s="1"/>
  <c r="J29" i="18"/>
  <c r="F26" i="18"/>
  <c r="F27" i="18"/>
  <c r="F29" i="18"/>
  <c r="G16" i="22"/>
  <c r="H16" i="22" s="1"/>
  <c r="G15" i="22"/>
  <c r="H15" i="22" s="1"/>
  <c r="G17" i="22"/>
  <c r="H17" i="22" s="1"/>
  <c r="I76" i="13"/>
  <c r="E76" i="13"/>
  <c r="F76" i="13" s="1"/>
  <c r="I75" i="13"/>
  <c r="E75" i="13"/>
  <c r="F75" i="13" s="1"/>
  <c r="I74" i="13"/>
  <c r="E74" i="13"/>
  <c r="F74" i="13" s="1"/>
  <c r="I25" i="27"/>
  <c r="E25" i="27"/>
  <c r="F25" i="27" s="1"/>
  <c r="I24" i="27"/>
  <c r="E24" i="27"/>
  <c r="F24" i="27" s="1"/>
  <c r="I35" i="77"/>
  <c r="E35" i="77"/>
  <c r="F35" i="77" s="1"/>
  <c r="I27" i="77"/>
  <c r="E27" i="77"/>
  <c r="F27" i="77" s="1"/>
  <c r="I26" i="77"/>
  <c r="E26" i="77"/>
  <c r="F26" i="77" s="1"/>
  <c r="I25" i="77"/>
  <c r="E25" i="77"/>
  <c r="F25" i="77" s="1"/>
  <c r="I24" i="77"/>
  <c r="E24" i="77"/>
  <c r="F24" i="77" s="1"/>
  <c r="I23" i="77"/>
  <c r="E23" i="77"/>
  <c r="F23" i="77" s="1"/>
  <c r="I22" i="77"/>
  <c r="E22" i="77"/>
  <c r="F22" i="77" s="1"/>
  <c r="I39" i="26"/>
  <c r="E39" i="26"/>
  <c r="F39" i="26" s="1"/>
  <c r="I38" i="26"/>
  <c r="E38" i="26"/>
  <c r="F38" i="26" s="1"/>
  <c r="I37" i="26"/>
  <c r="E37" i="26"/>
  <c r="F37" i="26" s="1"/>
  <c r="I38" i="25"/>
  <c r="E38" i="25"/>
  <c r="F38" i="25" s="1"/>
  <c r="I36" i="25"/>
  <c r="I37" i="25"/>
  <c r="E37" i="25"/>
  <c r="F37" i="25" s="1"/>
  <c r="E36" i="25"/>
  <c r="F36" i="25" s="1"/>
  <c r="I35" i="25"/>
  <c r="E35" i="25"/>
  <c r="F35" i="25" s="1"/>
  <c r="I34" i="25"/>
  <c r="E34" i="25"/>
  <c r="F34" i="25" s="1"/>
  <c r="I23" i="25"/>
  <c r="E23" i="25"/>
  <c r="F23" i="25" s="1"/>
  <c r="H19" i="24"/>
  <c r="E19" i="24"/>
  <c r="E17" i="24"/>
  <c r="H18" i="24"/>
  <c r="E18" i="24"/>
  <c r="J8" i="95"/>
  <c r="K8" i="95" s="1"/>
  <c r="L8" i="95" s="1"/>
  <c r="Q8" i="95" s="1"/>
  <c r="J9" i="95"/>
  <c r="K9" i="95" s="1"/>
  <c r="L9" i="95" s="1"/>
  <c r="Q9" i="95" s="1"/>
  <c r="J10" i="95"/>
  <c r="P10" i="95" s="1"/>
  <c r="J11" i="95"/>
  <c r="K11" i="95" s="1"/>
  <c r="L11" i="95" s="1"/>
  <c r="Q11" i="95" s="1"/>
  <c r="J12" i="95"/>
  <c r="J13" i="95"/>
  <c r="P13" i="95" s="1"/>
  <c r="J14" i="95"/>
  <c r="P14" i="95" s="1"/>
  <c r="J15" i="95"/>
  <c r="P15" i="95" s="1"/>
  <c r="J16" i="95"/>
  <c r="P16" i="95" s="1"/>
  <c r="J17" i="95"/>
  <c r="P17" i="95" s="1"/>
  <c r="J18" i="95"/>
  <c r="P18" i="95" s="1"/>
  <c r="J19" i="95"/>
  <c r="P19" i="95" s="1"/>
  <c r="J20" i="95"/>
  <c r="P20" i="95" s="1"/>
  <c r="J21" i="95"/>
  <c r="P21" i="95" s="1"/>
  <c r="J22" i="95"/>
  <c r="P22" i="95" s="1"/>
  <c r="J23" i="95"/>
  <c r="P23" i="95" s="1"/>
  <c r="J24" i="95"/>
  <c r="J25" i="95"/>
  <c r="P25" i="95" s="1"/>
  <c r="J26" i="95"/>
  <c r="P26" i="95" s="1"/>
  <c r="J27" i="95"/>
  <c r="P27" i="95" s="1"/>
  <c r="J28" i="95"/>
  <c r="P28" i="95" s="1"/>
  <c r="J29" i="95"/>
  <c r="P29" i="95" s="1"/>
  <c r="J30" i="95"/>
  <c r="P30" i="95" s="1"/>
  <c r="J31" i="95"/>
  <c r="P31" i="95" s="1"/>
  <c r="J32" i="95"/>
  <c r="K32" i="95" s="1"/>
  <c r="L32" i="95" s="1"/>
  <c r="Q32" i="95" s="1"/>
  <c r="J33" i="95"/>
  <c r="P33" i="95" s="1"/>
  <c r="J34" i="95"/>
  <c r="P34" i="95" s="1"/>
  <c r="J35" i="95"/>
  <c r="P35" i="95" s="1"/>
  <c r="J36" i="95"/>
  <c r="P36" i="95" s="1"/>
  <c r="J7" i="95"/>
  <c r="P7" i="95" s="1"/>
  <c r="G54" i="95"/>
  <c r="H54" i="95" s="1"/>
  <c r="G53" i="95"/>
  <c r="H53" i="95" s="1"/>
  <c r="G52" i="95"/>
  <c r="H52" i="95" s="1"/>
  <c r="I52" i="95" s="1"/>
  <c r="J52" i="95" s="1"/>
  <c r="F43" i="95"/>
  <c r="F47" i="95" s="1"/>
  <c r="E43" i="95"/>
  <c r="E47" i="95" s="1"/>
  <c r="D43" i="95"/>
  <c r="D47" i="95" s="1"/>
  <c r="C43" i="95"/>
  <c r="C47" i="95" s="1"/>
  <c r="D37" i="95"/>
  <c r="O36" i="95"/>
  <c r="N36" i="95"/>
  <c r="M36" i="95"/>
  <c r="O35" i="95"/>
  <c r="N35" i="95"/>
  <c r="M35" i="95"/>
  <c r="O34" i="95"/>
  <c r="N34" i="95"/>
  <c r="M34" i="95"/>
  <c r="O33" i="95"/>
  <c r="N33" i="95"/>
  <c r="M33" i="95"/>
  <c r="O32" i="95"/>
  <c r="N32" i="95"/>
  <c r="M32" i="95"/>
  <c r="O31" i="95"/>
  <c r="N31" i="95"/>
  <c r="M31" i="95"/>
  <c r="M30" i="95"/>
  <c r="I30" i="95"/>
  <c r="N30" i="95" s="1"/>
  <c r="F30" i="95"/>
  <c r="M29" i="95"/>
  <c r="I29" i="95"/>
  <c r="N29" i="95" s="1"/>
  <c r="F29" i="95"/>
  <c r="O29" i="95" s="1"/>
  <c r="N28" i="95"/>
  <c r="M28" i="95"/>
  <c r="F28" i="95"/>
  <c r="N27" i="95"/>
  <c r="M27" i="95"/>
  <c r="F27" i="95"/>
  <c r="N26" i="95"/>
  <c r="M26" i="95"/>
  <c r="F26" i="95"/>
  <c r="O26" i="95" s="1"/>
  <c r="M25" i="95"/>
  <c r="I25" i="95"/>
  <c r="N25" i="95" s="1"/>
  <c r="F25" i="95"/>
  <c r="O25" i="95" s="1"/>
  <c r="P24" i="95"/>
  <c r="M24" i="95"/>
  <c r="I24" i="95"/>
  <c r="N24" i="95" s="1"/>
  <c r="F24" i="95"/>
  <c r="O24" i="95" s="1"/>
  <c r="M23" i="95"/>
  <c r="I23" i="95"/>
  <c r="N23" i="95" s="1"/>
  <c r="F23" i="95"/>
  <c r="O23" i="95" s="1"/>
  <c r="M22" i="95"/>
  <c r="I22" i="95"/>
  <c r="N22" i="95" s="1"/>
  <c r="F22" i="95"/>
  <c r="O22" i="95" s="1"/>
  <c r="M21" i="95"/>
  <c r="I21" i="95"/>
  <c r="N21" i="95" s="1"/>
  <c r="F21" i="95"/>
  <c r="O21" i="95" s="1"/>
  <c r="M20" i="95"/>
  <c r="I20" i="95"/>
  <c r="N20" i="95" s="1"/>
  <c r="F20" i="95"/>
  <c r="O20" i="95" s="1"/>
  <c r="M19" i="95"/>
  <c r="I19" i="95"/>
  <c r="N19" i="95" s="1"/>
  <c r="F19" i="95"/>
  <c r="M18" i="95"/>
  <c r="I18" i="95"/>
  <c r="N18" i="95" s="1"/>
  <c r="F18" i="95"/>
  <c r="M17" i="95"/>
  <c r="I17" i="95"/>
  <c r="N17" i="95" s="1"/>
  <c r="F17" i="95"/>
  <c r="M16" i="95"/>
  <c r="I16" i="95"/>
  <c r="N16" i="95" s="1"/>
  <c r="F16" i="95"/>
  <c r="M15" i="95"/>
  <c r="I15" i="95"/>
  <c r="N15" i="95" s="1"/>
  <c r="F15" i="95"/>
  <c r="O15" i="95" s="1"/>
  <c r="M14" i="95"/>
  <c r="I14" i="95"/>
  <c r="N14" i="95" s="1"/>
  <c r="F14" i="95"/>
  <c r="M13" i="95"/>
  <c r="I13" i="95"/>
  <c r="N13" i="95" s="1"/>
  <c r="F13" i="95"/>
  <c r="P12" i="95"/>
  <c r="O12" i="95"/>
  <c r="N12" i="95"/>
  <c r="M12" i="95"/>
  <c r="K12" i="95"/>
  <c r="L12" i="95" s="1"/>
  <c r="Q12" i="95" s="1"/>
  <c r="O11" i="95"/>
  <c r="N11" i="95"/>
  <c r="M11" i="95"/>
  <c r="P11" i="95"/>
  <c r="O10" i="95"/>
  <c r="N10" i="95"/>
  <c r="M10" i="95"/>
  <c r="O9" i="95"/>
  <c r="N9" i="95"/>
  <c r="M9" i="95"/>
  <c r="O8" i="95"/>
  <c r="N8" i="95"/>
  <c r="M8" i="95"/>
  <c r="O7" i="95"/>
  <c r="N7" i="95"/>
  <c r="M7" i="95"/>
  <c r="J8" i="94"/>
  <c r="K8" i="94" s="1"/>
  <c r="L8" i="94" s="1"/>
  <c r="Q8" i="94" s="1"/>
  <c r="J9" i="94"/>
  <c r="K9" i="94" s="1"/>
  <c r="L9" i="94" s="1"/>
  <c r="Q9" i="94" s="1"/>
  <c r="J10" i="94"/>
  <c r="K10" i="94" s="1"/>
  <c r="L10" i="94" s="1"/>
  <c r="Q10" i="94" s="1"/>
  <c r="J11" i="94"/>
  <c r="P11" i="94" s="1"/>
  <c r="J12" i="94"/>
  <c r="P12" i="94" s="1"/>
  <c r="J13" i="94"/>
  <c r="P13" i="94" s="1"/>
  <c r="J14" i="94"/>
  <c r="J15" i="94"/>
  <c r="P15" i="94" s="1"/>
  <c r="J16" i="94"/>
  <c r="P16" i="94" s="1"/>
  <c r="J17" i="94"/>
  <c r="J18" i="94"/>
  <c r="J19" i="94"/>
  <c r="P19" i="94" s="1"/>
  <c r="J20" i="94"/>
  <c r="J21" i="94"/>
  <c r="J22" i="94"/>
  <c r="P22" i="94" s="1"/>
  <c r="J23" i="94"/>
  <c r="J24" i="94"/>
  <c r="P24" i="94" s="1"/>
  <c r="J25" i="94"/>
  <c r="P25" i="94" s="1"/>
  <c r="J26" i="94"/>
  <c r="J27" i="94"/>
  <c r="P27" i="94" s="1"/>
  <c r="J28" i="94"/>
  <c r="P28" i="94" s="1"/>
  <c r="J29" i="94"/>
  <c r="K29" i="94" s="1"/>
  <c r="L29" i="94" s="1"/>
  <c r="Q29" i="94" s="1"/>
  <c r="J30" i="94"/>
  <c r="K30" i="94" s="1"/>
  <c r="L30" i="94" s="1"/>
  <c r="Q30" i="94" s="1"/>
  <c r="J31" i="94"/>
  <c r="K31" i="94" s="1"/>
  <c r="L31" i="94" s="1"/>
  <c r="Q31" i="94" s="1"/>
  <c r="J32" i="94"/>
  <c r="J33" i="94"/>
  <c r="K33" i="94" s="1"/>
  <c r="L33" i="94" s="1"/>
  <c r="Q33" i="94" s="1"/>
  <c r="J34" i="94"/>
  <c r="K34" i="94" s="1"/>
  <c r="L34" i="94" s="1"/>
  <c r="Q34" i="94" s="1"/>
  <c r="J35" i="94"/>
  <c r="K35" i="94" s="1"/>
  <c r="L35" i="94" s="1"/>
  <c r="Q35" i="94" s="1"/>
  <c r="J36" i="94"/>
  <c r="K36" i="94" s="1"/>
  <c r="L36" i="94" s="1"/>
  <c r="Q36" i="94" s="1"/>
  <c r="J37" i="94"/>
  <c r="K37" i="94" s="1"/>
  <c r="L37" i="94" s="1"/>
  <c r="Q37" i="94" s="1"/>
  <c r="J38" i="94"/>
  <c r="K38" i="94" s="1"/>
  <c r="L38" i="94" s="1"/>
  <c r="Q38" i="94" s="1"/>
  <c r="J39" i="94"/>
  <c r="K39" i="94" s="1"/>
  <c r="L39" i="94" s="1"/>
  <c r="Q39" i="94" s="1"/>
  <c r="J7" i="94"/>
  <c r="P7" i="94" s="1"/>
  <c r="F46" i="94"/>
  <c r="E46" i="94"/>
  <c r="D46" i="94"/>
  <c r="C46" i="94"/>
  <c r="G45" i="94"/>
  <c r="G44" i="94"/>
  <c r="O39" i="94"/>
  <c r="N39" i="94"/>
  <c r="M39" i="94"/>
  <c r="O38" i="94"/>
  <c r="N38" i="94"/>
  <c r="M38" i="94"/>
  <c r="O37" i="94"/>
  <c r="N37" i="94"/>
  <c r="M37" i="94"/>
  <c r="O36" i="94"/>
  <c r="N36" i="94"/>
  <c r="M36" i="94"/>
  <c r="O35" i="94"/>
  <c r="N35" i="94"/>
  <c r="M35" i="94"/>
  <c r="O34" i="94"/>
  <c r="N34" i="94"/>
  <c r="M34" i="94"/>
  <c r="O33" i="94"/>
  <c r="N33" i="94"/>
  <c r="M33" i="94"/>
  <c r="O32" i="94"/>
  <c r="N32" i="94"/>
  <c r="M32" i="94"/>
  <c r="K32" i="94"/>
  <c r="L32" i="94" s="1"/>
  <c r="Q32" i="94" s="1"/>
  <c r="P31" i="94"/>
  <c r="O31" i="94"/>
  <c r="N31" i="94"/>
  <c r="M31" i="94"/>
  <c r="O30" i="94"/>
  <c r="N30" i="94"/>
  <c r="M30" i="94"/>
  <c r="O29" i="94"/>
  <c r="N29" i="94"/>
  <c r="M29" i="94"/>
  <c r="I28" i="94"/>
  <c r="F28" i="94"/>
  <c r="D28" i="94"/>
  <c r="M28" i="94" s="1"/>
  <c r="M27" i="94"/>
  <c r="I27" i="94"/>
  <c r="N27" i="94" s="1"/>
  <c r="F27" i="94"/>
  <c r="O27" i="94" s="1"/>
  <c r="M26" i="94"/>
  <c r="I26" i="94"/>
  <c r="N26" i="94" s="1"/>
  <c r="F26" i="94"/>
  <c r="O26" i="94" s="1"/>
  <c r="M25" i="94"/>
  <c r="I25" i="94"/>
  <c r="N25" i="94" s="1"/>
  <c r="F25" i="94"/>
  <c r="O25" i="94" s="1"/>
  <c r="M24" i="94"/>
  <c r="I24" i="94"/>
  <c r="N24" i="94" s="1"/>
  <c r="F24" i="94"/>
  <c r="O24" i="94" s="1"/>
  <c r="I23" i="94"/>
  <c r="F23" i="94"/>
  <c r="D23" i="94"/>
  <c r="M22" i="94"/>
  <c r="I22" i="94"/>
  <c r="N22" i="94" s="1"/>
  <c r="F22" i="94"/>
  <c r="O22" i="94" s="1"/>
  <c r="I21" i="94"/>
  <c r="F21" i="94"/>
  <c r="O21" i="94" s="1"/>
  <c r="D21" i="94"/>
  <c r="M21" i="94" s="1"/>
  <c r="P20" i="94"/>
  <c r="M20" i="94"/>
  <c r="L20" i="94"/>
  <c r="Q20" i="94" s="1"/>
  <c r="I20" i="94"/>
  <c r="N20" i="94" s="1"/>
  <c r="F20" i="94"/>
  <c r="O20" i="94" s="1"/>
  <c r="M19" i="94"/>
  <c r="L19" i="94"/>
  <c r="Q19" i="94" s="1"/>
  <c r="I19" i="94"/>
  <c r="N19" i="94" s="1"/>
  <c r="F19" i="94"/>
  <c r="O19" i="94" s="1"/>
  <c r="I18" i="94"/>
  <c r="F18" i="94"/>
  <c r="O18" i="94" s="1"/>
  <c r="D18" i="94"/>
  <c r="M18" i="94" s="1"/>
  <c r="I17" i="94"/>
  <c r="F17" i="94"/>
  <c r="D17" i="94"/>
  <c r="M17" i="94" s="1"/>
  <c r="M16" i="94"/>
  <c r="I16" i="94"/>
  <c r="N16" i="94" s="1"/>
  <c r="F16" i="94"/>
  <c r="O16" i="94" s="1"/>
  <c r="M15" i="94"/>
  <c r="I15" i="94"/>
  <c r="N15" i="94" s="1"/>
  <c r="F15" i="94"/>
  <c r="O15" i="94" s="1"/>
  <c r="M14" i="94"/>
  <c r="I14" i="94"/>
  <c r="N14" i="94" s="1"/>
  <c r="F14" i="94"/>
  <c r="O14" i="94" s="1"/>
  <c r="M13" i="94"/>
  <c r="I13" i="94"/>
  <c r="N13" i="94" s="1"/>
  <c r="F13" i="94"/>
  <c r="O13" i="94" s="1"/>
  <c r="M12" i="94"/>
  <c r="I12" i="94"/>
  <c r="N12" i="94" s="1"/>
  <c r="F12" i="94"/>
  <c r="O11" i="94"/>
  <c r="N11" i="94"/>
  <c r="M11" i="94"/>
  <c r="K11" i="94"/>
  <c r="L11" i="94" s="1"/>
  <c r="Q11" i="94" s="1"/>
  <c r="O10" i="94"/>
  <c r="N10" i="94"/>
  <c r="M10" i="94"/>
  <c r="O9" i="94"/>
  <c r="N9" i="94"/>
  <c r="M9" i="94"/>
  <c r="O8" i="94"/>
  <c r="N8" i="94"/>
  <c r="M8" i="94"/>
  <c r="O7" i="94"/>
  <c r="N7" i="94"/>
  <c r="M7" i="94"/>
  <c r="O28" i="94" l="1"/>
  <c r="P9" i="95"/>
  <c r="R9" i="95" s="1"/>
  <c r="S9" i="95" s="1"/>
  <c r="N28" i="94"/>
  <c r="P32" i="95"/>
  <c r="K7" i="95"/>
  <c r="L7" i="95" s="1"/>
  <c r="Q7" i="95" s="1"/>
  <c r="R7" i="95" s="1"/>
  <c r="S7" i="95" s="1"/>
  <c r="P37" i="94"/>
  <c r="R37" i="94" s="1"/>
  <c r="S37" i="94" s="1"/>
  <c r="P33" i="94"/>
  <c r="R33" i="94" s="1"/>
  <c r="S33" i="94" s="1"/>
  <c r="K34" i="95"/>
  <c r="L34" i="95" s="1"/>
  <c r="Q34" i="95" s="1"/>
  <c r="R34" i="95" s="1"/>
  <c r="S34" i="95" s="1"/>
  <c r="P9" i="94"/>
  <c r="R9" i="94" s="1"/>
  <c r="S9" i="94" s="1"/>
  <c r="P8" i="94"/>
  <c r="K36" i="95"/>
  <c r="L36" i="95" s="1"/>
  <c r="Q36" i="95" s="1"/>
  <c r="R36" i="95" s="1"/>
  <c r="S36" i="95" s="1"/>
  <c r="F58" i="28"/>
  <c r="J38" i="25"/>
  <c r="J34" i="25"/>
  <c r="J23" i="25"/>
  <c r="I19" i="24"/>
  <c r="J22" i="77"/>
  <c r="J76" i="13"/>
  <c r="P39" i="94"/>
  <c r="R39" i="94" s="1"/>
  <c r="S39" i="94" s="1"/>
  <c r="K28" i="95"/>
  <c r="L28" i="95" s="1"/>
  <c r="Q28" i="95" s="1"/>
  <c r="P23" i="94"/>
  <c r="P29" i="94"/>
  <c r="R29" i="94" s="1"/>
  <c r="S29" i="94" s="1"/>
  <c r="J26" i="77"/>
  <c r="J75" i="13"/>
  <c r="J24" i="77"/>
  <c r="J36" i="25"/>
  <c r="P8" i="95"/>
  <c r="P37" i="95" s="1"/>
  <c r="J27" i="77"/>
  <c r="J23" i="77"/>
  <c r="P35" i="94"/>
  <c r="R35" i="94" s="1"/>
  <c r="S35" i="94" s="1"/>
  <c r="K27" i="95"/>
  <c r="L27" i="95" s="1"/>
  <c r="Q27" i="95" s="1"/>
  <c r="K33" i="95"/>
  <c r="L33" i="95" s="1"/>
  <c r="Q33" i="95" s="1"/>
  <c r="R33" i="95" s="1"/>
  <c r="S33" i="95" s="1"/>
  <c r="J25" i="77"/>
  <c r="J74" i="13"/>
  <c r="K12" i="94"/>
  <c r="L12" i="94" s="1"/>
  <c r="Q12" i="94" s="1"/>
  <c r="K23" i="94"/>
  <c r="L23" i="94" s="1"/>
  <c r="Q23" i="94" s="1"/>
  <c r="K14" i="95"/>
  <c r="L14" i="95" s="1"/>
  <c r="Q14" i="95" s="1"/>
  <c r="K16" i="95"/>
  <c r="L16" i="95" s="1"/>
  <c r="Q16" i="95" s="1"/>
  <c r="K17" i="95"/>
  <c r="L17" i="95" s="1"/>
  <c r="Q17" i="95" s="1"/>
  <c r="K30" i="95"/>
  <c r="L30" i="95" s="1"/>
  <c r="Q30" i="95" s="1"/>
  <c r="I18" i="24"/>
  <c r="J37" i="26"/>
  <c r="J38" i="26"/>
  <c r="J39" i="26"/>
  <c r="J35" i="77"/>
  <c r="N17" i="94"/>
  <c r="J24" i="27"/>
  <c r="J25" i="27"/>
  <c r="J37" i="25"/>
  <c r="J35" i="25"/>
  <c r="O30" i="18"/>
  <c r="N29" i="18"/>
  <c r="O29" i="18"/>
  <c r="K54" i="95"/>
  <c r="I54" i="95"/>
  <c r="J54" i="95" s="1"/>
  <c r="O12" i="94"/>
  <c r="K16" i="94"/>
  <c r="L16" i="94" s="1"/>
  <c r="Q16" i="94" s="1"/>
  <c r="R16" i="94" s="1"/>
  <c r="S16" i="94" s="1"/>
  <c r="R8" i="94"/>
  <c r="S8" i="94" s="1"/>
  <c r="O17" i="94"/>
  <c r="N18" i="94"/>
  <c r="K24" i="94"/>
  <c r="L24" i="94" s="1"/>
  <c r="Q24" i="94" s="1"/>
  <c r="R24" i="94" s="1"/>
  <c r="S24" i="94" s="1"/>
  <c r="K27" i="94"/>
  <c r="L27" i="94" s="1"/>
  <c r="Q27" i="94" s="1"/>
  <c r="R27" i="94" s="1"/>
  <c r="S27" i="94" s="1"/>
  <c r="P21" i="94"/>
  <c r="P17" i="94"/>
  <c r="K15" i="94"/>
  <c r="L15" i="94" s="1"/>
  <c r="Q15" i="94" s="1"/>
  <c r="R15" i="94" s="1"/>
  <c r="S15" i="94" s="1"/>
  <c r="M37" i="95"/>
  <c r="K13" i="95"/>
  <c r="L13" i="95" s="1"/>
  <c r="Q13" i="95" s="1"/>
  <c r="K18" i="95"/>
  <c r="L18" i="95" s="1"/>
  <c r="Q18" i="95" s="1"/>
  <c r="K19" i="95"/>
  <c r="L19" i="95" s="1"/>
  <c r="Q19" i="95" s="1"/>
  <c r="O27" i="95"/>
  <c r="O28" i="95"/>
  <c r="O30" i="95"/>
  <c r="K29" i="95"/>
  <c r="L29" i="95" s="1"/>
  <c r="Q29" i="95" s="1"/>
  <c r="R29" i="95" s="1"/>
  <c r="S29" i="95" s="1"/>
  <c r="K26" i="94"/>
  <c r="L26" i="94" s="1"/>
  <c r="Q26" i="94" s="1"/>
  <c r="P18" i="94"/>
  <c r="K14" i="94"/>
  <c r="L14" i="94" s="1"/>
  <c r="Q14" i="94" s="1"/>
  <c r="R12" i="95"/>
  <c r="S12" i="95" s="1"/>
  <c r="K31" i="95"/>
  <c r="L31" i="95" s="1"/>
  <c r="Q31" i="95" s="1"/>
  <c r="R31" i="95" s="1"/>
  <c r="S31" i="95" s="1"/>
  <c r="K35" i="95"/>
  <c r="L35" i="95" s="1"/>
  <c r="Q35" i="95" s="1"/>
  <c r="R35" i="95" s="1"/>
  <c r="S35" i="95" s="1"/>
  <c r="K10" i="95"/>
  <c r="L10" i="95" s="1"/>
  <c r="Q10" i="95" s="1"/>
  <c r="R10" i="95" s="1"/>
  <c r="S10" i="95" s="1"/>
  <c r="K26" i="95"/>
  <c r="L26" i="95" s="1"/>
  <c r="Q26" i="95" s="1"/>
  <c r="R26" i="95" s="1"/>
  <c r="S26" i="95" s="1"/>
  <c r="I53" i="95"/>
  <c r="J53" i="95" s="1"/>
  <c r="K53" i="95"/>
  <c r="R11" i="95"/>
  <c r="S11" i="95" s="1"/>
  <c r="R32" i="95"/>
  <c r="S32" i="95" s="1"/>
  <c r="N37" i="95"/>
  <c r="K52" i="95"/>
  <c r="O13" i="95"/>
  <c r="O14" i="95"/>
  <c r="K15" i="95"/>
  <c r="L15" i="95" s="1"/>
  <c r="Q15" i="95" s="1"/>
  <c r="R15" i="95" s="1"/>
  <c r="S15" i="95" s="1"/>
  <c r="O16" i="95"/>
  <c r="O17" i="95"/>
  <c r="O18" i="95"/>
  <c r="O19" i="95"/>
  <c r="K20" i="95"/>
  <c r="L20" i="95" s="1"/>
  <c r="Q20" i="95" s="1"/>
  <c r="K21" i="95"/>
  <c r="L21" i="95" s="1"/>
  <c r="Q21" i="95" s="1"/>
  <c r="R21" i="95" s="1"/>
  <c r="S21" i="95" s="1"/>
  <c r="K22" i="95"/>
  <c r="L22" i="95" s="1"/>
  <c r="Q22" i="95" s="1"/>
  <c r="R22" i="95" s="1"/>
  <c r="S22" i="95" s="1"/>
  <c r="K23" i="95"/>
  <c r="L23" i="95" s="1"/>
  <c r="Q23" i="95" s="1"/>
  <c r="R23" i="95" s="1"/>
  <c r="S23" i="95" s="1"/>
  <c r="K24" i="95"/>
  <c r="L24" i="95" s="1"/>
  <c r="Q24" i="95" s="1"/>
  <c r="R24" i="95" s="1"/>
  <c r="S24" i="95" s="1"/>
  <c r="K25" i="95"/>
  <c r="L25" i="95" s="1"/>
  <c r="Q25" i="95" s="1"/>
  <c r="R25" i="95" s="1"/>
  <c r="S25" i="95" s="1"/>
  <c r="K13" i="94"/>
  <c r="L13" i="94" s="1"/>
  <c r="Q13" i="94" s="1"/>
  <c r="K25" i="94"/>
  <c r="L25" i="94" s="1"/>
  <c r="Q25" i="94" s="1"/>
  <c r="R25" i="94" s="1"/>
  <c r="S25" i="94" s="1"/>
  <c r="P10" i="94"/>
  <c r="R10" i="94" s="1"/>
  <c r="S10" i="94" s="1"/>
  <c r="P14" i="94"/>
  <c r="P26" i="94"/>
  <c r="K7" i="94"/>
  <c r="L7" i="94" s="1"/>
  <c r="Q7" i="94" s="1"/>
  <c r="R7" i="94" s="1"/>
  <c r="R13" i="94"/>
  <c r="S13" i="94" s="1"/>
  <c r="R19" i="94"/>
  <c r="S19" i="94" s="1"/>
  <c r="R11" i="94"/>
  <c r="S11" i="94" s="1"/>
  <c r="R20" i="94"/>
  <c r="S20" i="94" s="1"/>
  <c r="R31" i="94"/>
  <c r="S31" i="94" s="1"/>
  <c r="O23" i="94"/>
  <c r="D40" i="94"/>
  <c r="K21" i="94"/>
  <c r="L21" i="94" s="1"/>
  <c r="Q21" i="94" s="1"/>
  <c r="K22" i="94"/>
  <c r="L22" i="94" s="1"/>
  <c r="Q22" i="94" s="1"/>
  <c r="R22" i="94" s="1"/>
  <c r="S22" i="94" s="1"/>
  <c r="N23" i="94"/>
  <c r="K18" i="94"/>
  <c r="L18" i="94" s="1"/>
  <c r="Q18" i="94" s="1"/>
  <c r="K19" i="94"/>
  <c r="K20" i="94"/>
  <c r="N21" i="94"/>
  <c r="M23" i="94"/>
  <c r="M40" i="94" s="1"/>
  <c r="P30" i="94"/>
  <c r="R30" i="94" s="1"/>
  <c r="S30" i="94" s="1"/>
  <c r="P32" i="94"/>
  <c r="R32" i="94" s="1"/>
  <c r="S32" i="94" s="1"/>
  <c r="P34" i="94"/>
  <c r="R34" i="94" s="1"/>
  <c r="S34" i="94" s="1"/>
  <c r="P36" i="94"/>
  <c r="R36" i="94" s="1"/>
  <c r="S36" i="94" s="1"/>
  <c r="P38" i="94"/>
  <c r="R38" i="94" s="1"/>
  <c r="S38" i="94" s="1"/>
  <c r="K17" i="94"/>
  <c r="L17" i="94" s="1"/>
  <c r="Q17" i="94" s="1"/>
  <c r="K28" i="94"/>
  <c r="L28" i="94" s="1"/>
  <c r="Q28" i="94" s="1"/>
  <c r="R8" i="95" l="1"/>
  <c r="S8" i="95" s="1"/>
  <c r="R28" i="94"/>
  <c r="S28" i="94" s="1"/>
  <c r="R14" i="95"/>
  <c r="S14" i="95" s="1"/>
  <c r="R12" i="94"/>
  <c r="S12" i="94" s="1"/>
  <c r="R28" i="95"/>
  <c r="S28" i="95" s="1"/>
  <c r="R26" i="94"/>
  <c r="S26" i="94" s="1"/>
  <c r="R16" i="95"/>
  <c r="S16" i="95" s="1"/>
  <c r="R17" i="95"/>
  <c r="S17" i="95" s="1"/>
  <c r="R17" i="94"/>
  <c r="S17" i="94" s="1"/>
  <c r="R19" i="95"/>
  <c r="S19" i="95" s="1"/>
  <c r="R27" i="95"/>
  <c r="S27" i="95" s="1"/>
  <c r="G46" i="95" s="1"/>
  <c r="H46" i="95" s="1"/>
  <c r="N40" i="94"/>
  <c r="R18" i="94"/>
  <c r="S18" i="94" s="1"/>
  <c r="R14" i="94"/>
  <c r="S14" i="94" s="1"/>
  <c r="R30" i="95"/>
  <c r="S30" i="95" s="1"/>
  <c r="O40" i="94"/>
  <c r="S42" i="94" s="1"/>
  <c r="R18" i="95"/>
  <c r="S18" i="95" s="1"/>
  <c r="Q37" i="95"/>
  <c r="O37" i="95"/>
  <c r="R20" i="95"/>
  <c r="S20" i="95" s="1"/>
  <c r="R13" i="95"/>
  <c r="Q40" i="94"/>
  <c r="R21" i="94"/>
  <c r="S21" i="94" s="1"/>
  <c r="P40" i="94"/>
  <c r="S7" i="94"/>
  <c r="R23" i="94"/>
  <c r="S23" i="94" s="1"/>
  <c r="S13" i="95" l="1"/>
  <c r="S37" i="95" s="1"/>
  <c r="G44" i="95" s="1"/>
  <c r="R37" i="95"/>
  <c r="R40" i="94"/>
  <c r="S40" i="94"/>
  <c r="G46" i="94" s="1"/>
  <c r="H46" i="94" s="1"/>
  <c r="H44" i="95" l="1"/>
  <c r="G47" i="95"/>
  <c r="H47" i="95" s="1"/>
  <c r="F8" i="28" l="1"/>
  <c r="F10" i="28"/>
  <c r="F11" i="28"/>
  <c r="F51" i="28"/>
  <c r="F95" i="28"/>
  <c r="F96" i="28"/>
  <c r="F97" i="28"/>
  <c r="F98" i="28"/>
  <c r="E11" i="93"/>
  <c r="H11" i="93" s="1"/>
  <c r="F78" i="28"/>
  <c r="E11" i="78"/>
  <c r="D11" i="78"/>
  <c r="H11" i="78"/>
  <c r="G11" i="78"/>
  <c r="M7" i="93"/>
  <c r="L7" i="93"/>
  <c r="M6" i="93"/>
  <c r="L6" i="93"/>
  <c r="M7" i="92"/>
  <c r="L7" i="92"/>
  <c r="M6" i="92"/>
  <c r="L6" i="92"/>
  <c r="F11" i="79" l="1"/>
  <c r="J11" i="93"/>
  <c r="I11" i="93"/>
  <c r="J12" i="93" l="1"/>
  <c r="F81" i="28"/>
  <c r="I12" i="93"/>
  <c r="J11" i="91"/>
  <c r="E65" i="28" s="1"/>
  <c r="F11" i="54"/>
  <c r="I11" i="13"/>
  <c r="E81" i="28" l="1"/>
  <c r="F65" i="28"/>
  <c r="I61" i="13"/>
  <c r="I62" i="13"/>
  <c r="I63" i="13"/>
  <c r="I64" i="13"/>
  <c r="I65" i="13"/>
  <c r="I66" i="13"/>
  <c r="I67" i="13"/>
  <c r="I68" i="13"/>
  <c r="I69" i="13"/>
  <c r="I70" i="13"/>
  <c r="I71" i="13"/>
  <c r="I72" i="13"/>
  <c r="I73" i="13"/>
  <c r="I60" i="13"/>
  <c r="I57" i="13"/>
  <c r="I58" i="13"/>
  <c r="I56" i="13"/>
  <c r="I49" i="13"/>
  <c r="I50" i="13"/>
  <c r="I51" i="13"/>
  <c r="I52" i="13"/>
  <c r="I53" i="13"/>
  <c r="I54" i="13"/>
  <c r="I4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18" i="13"/>
  <c r="I12" i="13"/>
  <c r="I13" i="13"/>
  <c r="I14" i="13"/>
  <c r="I15" i="13"/>
  <c r="I16" i="13"/>
  <c r="I21" i="12"/>
  <c r="F12" i="90"/>
  <c r="G12" i="90" s="1"/>
  <c r="G21" i="90" s="1"/>
  <c r="E83" i="28" s="1"/>
  <c r="E11" i="12"/>
  <c r="F11" i="12" s="1"/>
  <c r="E11" i="13"/>
  <c r="F83" i="28" l="1"/>
  <c r="G11" i="89"/>
  <c r="G21" i="89" s="1"/>
  <c r="E82" i="28" s="1"/>
  <c r="F82" i="28" l="1"/>
  <c r="J11" i="79"/>
  <c r="D13" i="47"/>
  <c r="D9" i="47"/>
  <c r="D34" i="46"/>
  <c r="D35" i="46"/>
  <c r="D36" i="46"/>
  <c r="D37" i="46"/>
  <c r="D38" i="46"/>
  <c r="D39" i="46"/>
  <c r="D40" i="46"/>
  <c r="D41" i="46"/>
  <c r="D33" i="46"/>
  <c r="D12" i="46"/>
  <c r="D13" i="46"/>
  <c r="D14" i="46"/>
  <c r="D15" i="46"/>
  <c r="D16" i="46"/>
  <c r="D17" i="46"/>
  <c r="D11" i="46"/>
  <c r="D27" i="46"/>
  <c r="F27" i="46" s="1"/>
  <c r="J12" i="79" l="1"/>
  <c r="F13" i="46"/>
  <c r="D20" i="46"/>
  <c r="D21" i="46"/>
  <c r="D28" i="46"/>
  <c r="D29" i="46"/>
  <c r="D30" i="46"/>
  <c r="E13" i="61" l="1"/>
  <c r="E12" i="61"/>
  <c r="D12" i="40" l="1"/>
  <c r="D11" i="40"/>
  <c r="F45" i="28"/>
  <c r="I11" i="12"/>
  <c r="J11" i="12" s="1"/>
  <c r="D15" i="50"/>
  <c r="D14" i="50"/>
  <c r="F14" i="50" s="1"/>
  <c r="G14" i="50" s="1"/>
  <c r="D13" i="50"/>
  <c r="D12" i="50"/>
  <c r="D11" i="50"/>
  <c r="D15" i="53" l="1"/>
  <c r="D13" i="53"/>
  <c r="D12" i="53"/>
  <c r="D11" i="53"/>
  <c r="D12" i="52"/>
  <c r="D12" i="51"/>
  <c r="C35" i="81"/>
  <c r="B28" i="81"/>
  <c r="D22" i="82"/>
  <c r="R7" i="82"/>
  <c r="Q7" i="82"/>
  <c r="M7" i="82" l="1"/>
  <c r="B27" i="81"/>
  <c r="B29" i="81" s="1"/>
  <c r="I18" i="12"/>
  <c r="I19" i="12"/>
  <c r="I20" i="12"/>
  <c r="I22" i="12"/>
  <c r="I17" i="12"/>
  <c r="I16" i="12"/>
  <c r="I15" i="12"/>
  <c r="I14" i="12"/>
  <c r="I13" i="12"/>
  <c r="I12" i="12"/>
  <c r="S7" i="82" l="1"/>
  <c r="N7" i="82"/>
  <c r="O7" i="82" s="1"/>
  <c r="T7" i="82" l="1"/>
  <c r="U7" i="82" s="1"/>
  <c r="U17" i="82" s="1"/>
  <c r="E21" i="82" s="1"/>
  <c r="E34" i="81"/>
  <c r="E22" i="82" l="1"/>
  <c r="F22" i="82" s="1"/>
  <c r="E14" i="28" s="1"/>
  <c r="F13" i="28"/>
  <c r="E9" i="28"/>
  <c r="I12" i="79"/>
  <c r="M7" i="79"/>
  <c r="L7" i="79"/>
  <c r="M6" i="79"/>
  <c r="L6" i="79"/>
  <c r="F14" i="28" l="1"/>
  <c r="E7" i="28"/>
  <c r="F9" i="28"/>
  <c r="F12" i="28"/>
  <c r="M7" i="78"/>
  <c r="L7" i="78"/>
  <c r="L6" i="78"/>
  <c r="E35" i="81" l="1"/>
  <c r="F7" i="28"/>
  <c r="M6" i="78"/>
  <c r="H42" i="77" l="1"/>
  <c r="I42" i="77" s="1"/>
  <c r="E42" i="77"/>
  <c r="F42" i="77" s="1"/>
  <c r="H41" i="77"/>
  <c r="I41" i="77" s="1"/>
  <c r="E41" i="77"/>
  <c r="F41" i="77" s="1"/>
  <c r="H40" i="77"/>
  <c r="I40" i="77" s="1"/>
  <c r="E40" i="77"/>
  <c r="F40" i="77" s="1"/>
  <c r="H39" i="77"/>
  <c r="I39" i="77" s="1"/>
  <c r="E39" i="77"/>
  <c r="F39" i="77" s="1"/>
  <c r="H38" i="77"/>
  <c r="I38" i="77" s="1"/>
  <c r="E38" i="77"/>
  <c r="F38" i="77" s="1"/>
  <c r="H34" i="77"/>
  <c r="I34" i="77" s="1"/>
  <c r="E34" i="77"/>
  <c r="F34" i="77" s="1"/>
  <c r="H33" i="77"/>
  <c r="I33" i="77" s="1"/>
  <c r="E33" i="77"/>
  <c r="F33" i="77" s="1"/>
  <c r="H32" i="77"/>
  <c r="I32" i="77" s="1"/>
  <c r="E32" i="77"/>
  <c r="F32" i="77" s="1"/>
  <c r="H31" i="77"/>
  <c r="I31" i="77" s="1"/>
  <c r="E31" i="77"/>
  <c r="F31" i="77" s="1"/>
  <c r="H30" i="77"/>
  <c r="I30" i="77" s="1"/>
  <c r="E30" i="77"/>
  <c r="F30" i="77" s="1"/>
  <c r="H21" i="77"/>
  <c r="I21" i="77" s="1"/>
  <c r="E21" i="77"/>
  <c r="F21" i="77" s="1"/>
  <c r="H20" i="77"/>
  <c r="I20" i="77" s="1"/>
  <c r="E20" i="77"/>
  <c r="F20" i="77" s="1"/>
  <c r="H19" i="77"/>
  <c r="I19" i="77" s="1"/>
  <c r="E19" i="77"/>
  <c r="F19" i="77" s="1"/>
  <c r="I18" i="77"/>
  <c r="E18" i="77"/>
  <c r="F18" i="77" s="1"/>
  <c r="I17" i="77"/>
  <c r="E17" i="77"/>
  <c r="F17" i="77" s="1"/>
  <c r="I16" i="77"/>
  <c r="E16" i="77"/>
  <c r="F16" i="77" s="1"/>
  <c r="I15" i="77"/>
  <c r="E15" i="77"/>
  <c r="F15" i="77" s="1"/>
  <c r="I14" i="77"/>
  <c r="E14" i="77"/>
  <c r="F14" i="77" s="1"/>
  <c r="I13" i="77"/>
  <c r="E13" i="77"/>
  <c r="F13" i="77" s="1"/>
  <c r="I12" i="77"/>
  <c r="E12" i="77"/>
  <c r="F12" i="77" s="1"/>
  <c r="I11" i="77"/>
  <c r="E11" i="77"/>
  <c r="F11" i="77" s="1"/>
  <c r="J15" i="77" l="1"/>
  <c r="J11" i="77"/>
  <c r="J16" i="77"/>
  <c r="J13" i="77"/>
  <c r="J17" i="77"/>
  <c r="J12" i="77"/>
  <c r="J14" i="77"/>
  <c r="J18" i="77"/>
  <c r="J19" i="77"/>
  <c r="J21" i="77"/>
  <c r="J30" i="77"/>
  <c r="J31" i="77"/>
  <c r="J32" i="77"/>
  <c r="J33" i="77"/>
  <c r="J34" i="77"/>
  <c r="J38" i="77"/>
  <c r="J39" i="77"/>
  <c r="J40" i="77"/>
  <c r="J41" i="77"/>
  <c r="J42" i="77"/>
  <c r="J43" i="77" l="1"/>
  <c r="J36" i="77"/>
  <c r="J28" i="77"/>
  <c r="E32" i="26"/>
  <c r="F32" i="26" s="1"/>
  <c r="I32" i="26"/>
  <c r="E33" i="26"/>
  <c r="F33" i="26" s="1"/>
  <c r="I33" i="26"/>
  <c r="E34" i="26"/>
  <c r="F34" i="26" s="1"/>
  <c r="I34" i="26"/>
  <c r="E35" i="26"/>
  <c r="F35" i="26" s="1"/>
  <c r="I35" i="26"/>
  <c r="I31" i="26"/>
  <c r="E31" i="26"/>
  <c r="F31" i="26" s="1"/>
  <c r="I25" i="26"/>
  <c r="I26" i="26"/>
  <c r="I27" i="26"/>
  <c r="I28" i="26"/>
  <c r="I24" i="26"/>
  <c r="E25" i="26"/>
  <c r="F25" i="26" s="1"/>
  <c r="E26" i="26"/>
  <c r="F26" i="26" s="1"/>
  <c r="E27" i="26"/>
  <c r="F27" i="26" s="1"/>
  <c r="E28" i="26"/>
  <c r="F28" i="26" s="1"/>
  <c r="E24" i="26"/>
  <c r="F24" i="26" s="1"/>
  <c r="J44" i="77" l="1"/>
  <c r="J24" i="26"/>
  <c r="J27" i="26"/>
  <c r="J25" i="26"/>
  <c r="J28" i="26"/>
  <c r="J26" i="26"/>
  <c r="J31" i="26"/>
  <c r="J35" i="26"/>
  <c r="J33" i="26"/>
  <c r="J34" i="26"/>
  <c r="J32" i="26"/>
  <c r="J29" i="26" l="1"/>
  <c r="J36" i="26"/>
  <c r="C11" i="54"/>
  <c r="H13" i="26" l="1"/>
  <c r="H14" i="26"/>
  <c r="H15" i="26"/>
  <c r="H16" i="26"/>
  <c r="H17" i="26"/>
  <c r="I17" i="26" s="1"/>
  <c r="H12" i="26"/>
  <c r="E93" i="28" l="1"/>
  <c r="F93" i="28" l="1"/>
  <c r="F32" i="34"/>
  <c r="G32" i="34" s="1"/>
  <c r="F31" i="34"/>
  <c r="G31" i="34" s="1"/>
  <c r="F30" i="34"/>
  <c r="G30" i="34" s="1"/>
  <c r="F29" i="34"/>
  <c r="G29" i="34" s="1"/>
  <c r="F28" i="34"/>
  <c r="G28" i="34" s="1"/>
  <c r="F27" i="34"/>
  <c r="F11" i="76" l="1"/>
  <c r="G11" i="76" s="1"/>
  <c r="G11" i="63"/>
  <c r="E37" i="28" s="1"/>
  <c r="F37" i="28" l="1"/>
  <c r="F24" i="65"/>
  <c r="G24" i="65" s="1"/>
  <c r="F15" i="34"/>
  <c r="G15" i="34" s="1"/>
  <c r="F16" i="34"/>
  <c r="G16" i="34" s="1"/>
  <c r="F17" i="34"/>
  <c r="G17" i="34" s="1"/>
  <c r="F18" i="34"/>
  <c r="G18" i="34" s="1"/>
  <c r="F19" i="34"/>
  <c r="G19" i="34" s="1"/>
  <c r="F20" i="34"/>
  <c r="G20" i="34" s="1"/>
  <c r="F21" i="34"/>
  <c r="G21" i="34" s="1"/>
  <c r="F22" i="34"/>
  <c r="G22" i="34" s="1"/>
  <c r="F23" i="34"/>
  <c r="G23" i="34" s="1"/>
  <c r="F24" i="34"/>
  <c r="G24" i="34" s="1"/>
  <c r="F25" i="34"/>
  <c r="G25" i="34" s="1"/>
  <c r="F26" i="34"/>
  <c r="G26" i="34" s="1"/>
  <c r="G27" i="34"/>
  <c r="F11" i="34"/>
  <c r="G11" i="34" s="1"/>
  <c r="I9" i="19" l="1"/>
  <c r="K9" i="19" s="1"/>
  <c r="I8" i="19"/>
  <c r="J8" i="19" s="1"/>
  <c r="J9" i="19" l="1"/>
  <c r="K8" i="19"/>
  <c r="D9" i="48" l="1"/>
  <c r="F9" i="48" s="1"/>
  <c r="F9" i="47"/>
  <c r="G12" i="76" l="1"/>
  <c r="E46" i="28" s="1"/>
  <c r="F46" i="28" l="1"/>
  <c r="F11" i="20"/>
  <c r="G11" i="20" s="1"/>
  <c r="E33" i="28" s="1"/>
  <c r="F33" i="28" s="1"/>
  <c r="J42" i="19" l="1"/>
  <c r="D18" i="49" l="1"/>
  <c r="E86" i="28"/>
  <c r="F85" i="28"/>
  <c r="F84" i="28"/>
  <c r="F90" i="28"/>
  <c r="E88" i="28"/>
  <c r="F86" i="28" l="1"/>
  <c r="E89" i="28"/>
  <c r="F88" i="28"/>
  <c r="F12" i="74"/>
  <c r="G12" i="74" s="1"/>
  <c r="F11" i="71"/>
  <c r="G11" i="71" s="1"/>
  <c r="F11" i="67"/>
  <c r="G11" i="67" s="1"/>
  <c r="F11" i="65"/>
  <c r="F11" i="66"/>
  <c r="F11" i="62"/>
  <c r="G11" i="62" s="1"/>
  <c r="G14" i="61"/>
  <c r="H14" i="61" s="1"/>
  <c r="G12" i="61"/>
  <c r="G13" i="60"/>
  <c r="H13" i="60" s="1"/>
  <c r="G11" i="60"/>
  <c r="F11" i="57"/>
  <c r="F11" i="56"/>
  <c r="G11" i="56" s="1"/>
  <c r="F11" i="55"/>
  <c r="F20" i="53"/>
  <c r="F11" i="53"/>
  <c r="F20" i="52"/>
  <c r="G20" i="52" s="1"/>
  <c r="G21" i="52" s="1"/>
  <c r="E20" i="28" s="1"/>
  <c r="F11" i="51"/>
  <c r="H11" i="54"/>
  <c r="F11" i="49"/>
  <c r="G11" i="49" s="1"/>
  <c r="D8" i="48"/>
  <c r="F12" i="34"/>
  <c r="G12" i="34" s="1"/>
  <c r="I12" i="26"/>
  <c r="I11" i="26"/>
  <c r="H11" i="24"/>
  <c r="I12" i="23"/>
  <c r="J12" i="23" s="1"/>
  <c r="G11" i="22"/>
  <c r="I11" i="21"/>
  <c r="L12" i="30"/>
  <c r="K12" i="30"/>
  <c r="J12" i="30"/>
  <c r="F11" i="43"/>
  <c r="G11" i="43" s="1"/>
  <c r="C13" i="17"/>
  <c r="D13" i="17"/>
  <c r="G13" i="17"/>
  <c r="H13" i="17"/>
  <c r="I13" i="17"/>
  <c r="K13" i="17"/>
  <c r="L13" i="17"/>
  <c r="M13" i="17"/>
  <c r="N13" i="17"/>
  <c r="O13" i="17"/>
  <c r="B13" i="17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I37" i="19"/>
  <c r="I38" i="19"/>
  <c r="I39" i="19"/>
  <c r="F13" i="74"/>
  <c r="F14" i="74"/>
  <c r="F12" i="69"/>
  <c r="F13" i="69"/>
  <c r="F11" i="69"/>
  <c r="G11" i="69" s="1"/>
  <c r="F12" i="71"/>
  <c r="G12" i="71" s="1"/>
  <c r="F13" i="71"/>
  <c r="G13" i="71" s="1"/>
  <c r="F11" i="68"/>
  <c r="F12" i="67"/>
  <c r="F12" i="66"/>
  <c r="F13" i="66"/>
  <c r="F14" i="66"/>
  <c r="F15" i="66"/>
  <c r="F16" i="66"/>
  <c r="F17" i="66"/>
  <c r="F18" i="66"/>
  <c r="F19" i="66"/>
  <c r="F20" i="66"/>
  <c r="F21" i="66"/>
  <c r="F12" i="65"/>
  <c r="F13" i="65"/>
  <c r="F14" i="65"/>
  <c r="F15" i="65"/>
  <c r="F16" i="65"/>
  <c r="F17" i="65"/>
  <c r="F18" i="65"/>
  <c r="F19" i="65"/>
  <c r="F20" i="65"/>
  <c r="F21" i="65"/>
  <c r="F22" i="65"/>
  <c r="F23" i="65"/>
  <c r="F12" i="62"/>
  <c r="F13" i="62"/>
  <c r="F14" i="62"/>
  <c r="G13" i="61"/>
  <c r="G12" i="60"/>
  <c r="F11" i="59"/>
  <c r="G11" i="59" s="1"/>
  <c r="E60" i="28" s="1"/>
  <c r="F11" i="58"/>
  <c r="F12" i="56"/>
  <c r="F13" i="56"/>
  <c r="F14" i="56"/>
  <c r="F15" i="56"/>
  <c r="F16" i="56"/>
  <c r="G16" i="56" s="1"/>
  <c r="F17" i="56"/>
  <c r="G17" i="56" s="1"/>
  <c r="F13" i="53"/>
  <c r="F14" i="53"/>
  <c r="F17" i="53"/>
  <c r="F18" i="53"/>
  <c r="F16" i="53"/>
  <c r="F15" i="53"/>
  <c r="F12" i="53"/>
  <c r="F13" i="52"/>
  <c r="G13" i="52" s="1"/>
  <c r="F14" i="52"/>
  <c r="G14" i="52" s="1"/>
  <c r="F17" i="52"/>
  <c r="G17" i="52" s="1"/>
  <c r="F18" i="52"/>
  <c r="G18" i="52" s="1"/>
  <c r="F11" i="52"/>
  <c r="G11" i="52" s="1"/>
  <c r="F16" i="52"/>
  <c r="G16" i="52" s="1"/>
  <c r="F15" i="52"/>
  <c r="G15" i="52" s="1"/>
  <c r="F12" i="52"/>
  <c r="G12" i="52" s="1"/>
  <c r="F13" i="51"/>
  <c r="F17" i="51"/>
  <c r="F18" i="51"/>
  <c r="F16" i="51"/>
  <c r="F15" i="51"/>
  <c r="F14" i="51"/>
  <c r="F12" i="51"/>
  <c r="F11" i="50"/>
  <c r="G11" i="50" s="1"/>
  <c r="F15" i="50"/>
  <c r="G15" i="50" s="1"/>
  <c r="F13" i="50"/>
  <c r="F12" i="50"/>
  <c r="F12" i="49"/>
  <c r="G12" i="49" s="1"/>
  <c r="F13" i="49"/>
  <c r="G13" i="49" s="1"/>
  <c r="F14" i="49"/>
  <c r="G14" i="49" s="1"/>
  <c r="F15" i="49"/>
  <c r="G15" i="49" s="1"/>
  <c r="F16" i="49"/>
  <c r="G16" i="49" s="1"/>
  <c r="D10" i="48"/>
  <c r="D11" i="48"/>
  <c r="D12" i="48"/>
  <c r="D13" i="48"/>
  <c r="D14" i="48"/>
  <c r="D15" i="48"/>
  <c r="D16" i="48"/>
  <c r="D17" i="48"/>
  <c r="D18" i="48"/>
  <c r="D19" i="48"/>
  <c r="D20" i="48"/>
  <c r="D21" i="48"/>
  <c r="D22" i="48"/>
  <c r="D23" i="48"/>
  <c r="D24" i="48"/>
  <c r="D25" i="48"/>
  <c r="D26" i="48"/>
  <c r="D27" i="48"/>
  <c r="D28" i="48"/>
  <c r="D29" i="48"/>
  <c r="D10" i="47"/>
  <c r="D11" i="47"/>
  <c r="D12" i="47"/>
  <c r="D14" i="47"/>
  <c r="D15" i="47"/>
  <c r="D16" i="47"/>
  <c r="D17" i="47"/>
  <c r="D18" i="47"/>
  <c r="D19" i="47"/>
  <c r="D20" i="47"/>
  <c r="D21" i="47"/>
  <c r="D22" i="47"/>
  <c r="D23" i="47"/>
  <c r="D24" i="47"/>
  <c r="D25" i="47"/>
  <c r="D26" i="47"/>
  <c r="D27" i="47"/>
  <c r="D28" i="47"/>
  <c r="D29" i="47"/>
  <c r="D30" i="47"/>
  <c r="D32" i="46"/>
  <c r="D10" i="46"/>
  <c r="D22" i="46"/>
  <c r="D23" i="46"/>
  <c r="D24" i="46"/>
  <c r="D25" i="46"/>
  <c r="D26" i="46"/>
  <c r="D6" i="44"/>
  <c r="B6" i="44"/>
  <c r="B8" i="44" s="1"/>
  <c r="F13" i="40"/>
  <c r="F11" i="40"/>
  <c r="F12" i="40"/>
  <c r="F12" i="38"/>
  <c r="F14" i="38"/>
  <c r="F15" i="38"/>
  <c r="F13" i="38"/>
  <c r="G13" i="38" s="1"/>
  <c r="F11" i="38"/>
  <c r="G11" i="38" s="1"/>
  <c r="F12" i="36"/>
  <c r="F13" i="36"/>
  <c r="F14" i="36"/>
  <c r="F15" i="36"/>
  <c r="F11" i="36"/>
  <c r="G11" i="36" s="1"/>
  <c r="F13" i="34"/>
  <c r="F14" i="34"/>
  <c r="E11" i="41"/>
  <c r="I13" i="26"/>
  <c r="I14" i="26"/>
  <c r="I15" i="26"/>
  <c r="I16" i="26"/>
  <c r="I18" i="26"/>
  <c r="I19" i="26"/>
  <c r="I20" i="26"/>
  <c r="I21" i="26"/>
  <c r="H12" i="24"/>
  <c r="H13" i="24"/>
  <c r="H14" i="24"/>
  <c r="H15" i="24"/>
  <c r="H16" i="24"/>
  <c r="H17" i="24"/>
  <c r="I34" i="23"/>
  <c r="I35" i="23"/>
  <c r="I36" i="23"/>
  <c r="I37" i="23"/>
  <c r="I33" i="23"/>
  <c r="I31" i="23"/>
  <c r="I30" i="23"/>
  <c r="I29" i="23"/>
  <c r="I28" i="23"/>
  <c r="I27" i="23"/>
  <c r="I25" i="23"/>
  <c r="I13" i="23"/>
  <c r="I14" i="23"/>
  <c r="I15" i="23"/>
  <c r="I16" i="23"/>
  <c r="I17" i="23"/>
  <c r="I18" i="23"/>
  <c r="I19" i="23"/>
  <c r="I20" i="23"/>
  <c r="I21" i="23"/>
  <c r="I22" i="23"/>
  <c r="I23" i="23"/>
  <c r="G12" i="22"/>
  <c r="G13" i="22"/>
  <c r="G14" i="22"/>
  <c r="I12" i="21"/>
  <c r="F12" i="32"/>
  <c r="F11" i="32"/>
  <c r="L13" i="30"/>
  <c r="L14" i="30"/>
  <c r="L15" i="30"/>
  <c r="K13" i="30"/>
  <c r="K14" i="30"/>
  <c r="K15" i="30"/>
  <c r="J13" i="30"/>
  <c r="J14" i="30"/>
  <c r="J15" i="30"/>
  <c r="F12" i="20"/>
  <c r="G12" i="20" s="1"/>
  <c r="E34" i="28" s="1"/>
  <c r="F34" i="28" s="1"/>
  <c r="F13" i="20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12" i="18"/>
  <c r="F14" i="43"/>
  <c r="F13" i="43"/>
  <c r="F12" i="43"/>
  <c r="F89" i="28" l="1"/>
  <c r="G14" i="74"/>
  <c r="E44" i="28" s="1"/>
  <c r="G13" i="74"/>
  <c r="E42" i="28" s="1"/>
  <c r="G19" i="52"/>
  <c r="E17" i="28" s="1"/>
  <c r="M12" i="30"/>
  <c r="E23" i="28" s="1"/>
  <c r="B36" i="17"/>
  <c r="B33" i="17"/>
  <c r="G12" i="66"/>
  <c r="G13" i="66"/>
  <c r="G14" i="66"/>
  <c r="G15" i="66"/>
  <c r="G16" i="66"/>
  <c r="G17" i="66"/>
  <c r="G18" i="66"/>
  <c r="G19" i="66"/>
  <c r="G20" i="66"/>
  <c r="G21" i="66"/>
  <c r="F44" i="28" l="1"/>
  <c r="G16" i="74"/>
  <c r="F43" i="28" l="1"/>
  <c r="F42" i="28"/>
  <c r="G12" i="73"/>
  <c r="E47" i="28" s="1"/>
  <c r="F47" i="28" l="1"/>
  <c r="G14" i="71"/>
  <c r="E50" i="28" s="1"/>
  <c r="F50" i="28" l="1"/>
  <c r="G13" i="69"/>
  <c r="G12" i="69"/>
  <c r="G11" i="68"/>
  <c r="G12" i="68" s="1"/>
  <c r="E53" i="28" s="1"/>
  <c r="G12" i="67"/>
  <c r="G11" i="66"/>
  <c r="G22" i="66" s="1"/>
  <c r="F53" i="28" l="1"/>
  <c r="G14" i="69"/>
  <c r="E55" i="28" s="1"/>
  <c r="G13" i="67"/>
  <c r="E49" i="28"/>
  <c r="F49" i="28" l="1"/>
  <c r="F55" i="28"/>
  <c r="E52" i="28"/>
  <c r="G19" i="65"/>
  <c r="G18" i="65"/>
  <c r="G17" i="65"/>
  <c r="G16" i="65"/>
  <c r="G11" i="65"/>
  <c r="G20" i="65"/>
  <c r="G15" i="65"/>
  <c r="G12" i="65"/>
  <c r="G13" i="65"/>
  <c r="G23" i="65"/>
  <c r="G14" i="65"/>
  <c r="G22" i="65"/>
  <c r="G21" i="65"/>
  <c r="G14" i="62"/>
  <c r="G13" i="62"/>
  <c r="G12" i="62"/>
  <c r="H13" i="61"/>
  <c r="H12" i="61"/>
  <c r="H12" i="60"/>
  <c r="H11" i="60"/>
  <c r="F60" i="28"/>
  <c r="G11" i="58"/>
  <c r="G15" i="56"/>
  <c r="G14" i="56"/>
  <c r="G13" i="56"/>
  <c r="G12" i="56"/>
  <c r="E75" i="28"/>
  <c r="G20" i="53"/>
  <c r="G21" i="53" s="1"/>
  <c r="G18" i="53"/>
  <c r="G17" i="53"/>
  <c r="G16" i="53"/>
  <c r="G15" i="53"/>
  <c r="G14" i="53"/>
  <c r="G13" i="53"/>
  <c r="G12" i="53"/>
  <c r="G11" i="53"/>
  <c r="F20" i="28"/>
  <c r="F19" i="28"/>
  <c r="G18" i="51"/>
  <c r="G17" i="51"/>
  <c r="G16" i="51"/>
  <c r="G15" i="51"/>
  <c r="G14" i="51"/>
  <c r="G13" i="51"/>
  <c r="G12" i="51"/>
  <c r="G11" i="51"/>
  <c r="F75" i="28" l="1"/>
  <c r="F52" i="28"/>
  <c r="E21" i="28"/>
  <c r="E59" i="28"/>
  <c r="G18" i="56"/>
  <c r="E76" i="28" s="1"/>
  <c r="G25" i="65"/>
  <c r="E48" i="28" s="1"/>
  <c r="H14" i="60"/>
  <c r="E73" i="28" s="1"/>
  <c r="G19" i="53"/>
  <c r="G15" i="62"/>
  <c r="F17" i="28"/>
  <c r="E74" i="28"/>
  <c r="G19" i="51"/>
  <c r="F21" i="28" l="1"/>
  <c r="F76" i="28"/>
  <c r="F59" i="28"/>
  <c r="F48" i="28"/>
  <c r="F73" i="28"/>
  <c r="F74" i="28"/>
  <c r="E16" i="28"/>
  <c r="E18" i="28"/>
  <c r="E54" i="28"/>
  <c r="G13" i="50"/>
  <c r="G12" i="50"/>
  <c r="F54" i="28" l="1"/>
  <c r="F16" i="28"/>
  <c r="F18" i="28"/>
  <c r="G16" i="50"/>
  <c r="E56" i="28" s="1"/>
  <c r="G17" i="49"/>
  <c r="E57" i="28" s="1"/>
  <c r="F28" i="48"/>
  <c r="F27" i="48"/>
  <c r="F26" i="48"/>
  <c r="F25" i="48"/>
  <c r="F24" i="48"/>
  <c r="F23" i="48"/>
  <c r="F22" i="48"/>
  <c r="F21" i="48"/>
  <c r="F20" i="48"/>
  <c r="F19" i="48"/>
  <c r="F18" i="48"/>
  <c r="F17" i="48"/>
  <c r="F16" i="48"/>
  <c r="F15" i="48"/>
  <c r="F14" i="48"/>
  <c r="F13" i="48"/>
  <c r="F12" i="48"/>
  <c r="F11" i="48"/>
  <c r="F10" i="48"/>
  <c r="F8" i="48"/>
  <c r="F29" i="47"/>
  <c r="F28" i="47"/>
  <c r="F27" i="47"/>
  <c r="F26" i="47"/>
  <c r="F25" i="47"/>
  <c r="F24" i="47"/>
  <c r="F23" i="47"/>
  <c r="F22" i="47"/>
  <c r="F21" i="47"/>
  <c r="F20" i="47"/>
  <c r="F19" i="47"/>
  <c r="F18" i="47"/>
  <c r="F17" i="47"/>
  <c r="F16" i="47"/>
  <c r="F15" i="47"/>
  <c r="F14" i="47"/>
  <c r="F13" i="47"/>
  <c r="F12" i="47"/>
  <c r="F11" i="47"/>
  <c r="F10" i="47"/>
  <c r="F41" i="46"/>
  <c r="F40" i="46"/>
  <c r="F39" i="46"/>
  <c r="F38" i="46"/>
  <c r="F37" i="46"/>
  <c r="F36" i="46"/>
  <c r="F35" i="46"/>
  <c r="F34" i="46"/>
  <c r="F33" i="46"/>
  <c r="F32" i="46"/>
  <c r="F30" i="46"/>
  <c r="F29" i="46"/>
  <c r="F28" i="46"/>
  <c r="F26" i="46"/>
  <c r="F25" i="46"/>
  <c r="F24" i="46"/>
  <c r="F23" i="46"/>
  <c r="F22" i="46"/>
  <c r="F21" i="46"/>
  <c r="F20" i="46"/>
  <c r="F17" i="46"/>
  <c r="F16" i="46"/>
  <c r="F15" i="46"/>
  <c r="F14" i="46"/>
  <c r="F12" i="46"/>
  <c r="F11" i="46"/>
  <c r="F10" i="46"/>
  <c r="G13" i="40"/>
  <c r="G12" i="40"/>
  <c r="G11" i="40"/>
  <c r="G14" i="38"/>
  <c r="G12" i="38"/>
  <c r="F56" i="28" l="1"/>
  <c r="F57" i="28"/>
  <c r="G14" i="40"/>
  <c r="F30" i="48"/>
  <c r="F31" i="47"/>
  <c r="F31" i="46"/>
  <c r="E61" i="28" s="1"/>
  <c r="M7" i="44"/>
  <c r="L6" i="44"/>
  <c r="L8" i="44" s="1"/>
  <c r="K6" i="44"/>
  <c r="K8" i="44" s="1"/>
  <c r="J6" i="44"/>
  <c r="J8" i="44" s="1"/>
  <c r="I6" i="44"/>
  <c r="I8" i="44" s="1"/>
  <c r="H6" i="44"/>
  <c r="H8" i="44" s="1"/>
  <c r="G6" i="44"/>
  <c r="G8" i="44" s="1"/>
  <c r="F6" i="44"/>
  <c r="F8" i="44" s="1"/>
  <c r="E6" i="44"/>
  <c r="E8" i="44" s="1"/>
  <c r="D8" i="44"/>
  <c r="C6" i="44"/>
  <c r="C8" i="44" s="1"/>
  <c r="E64" i="28" l="1"/>
  <c r="E63" i="28"/>
  <c r="C17" i="44"/>
  <c r="C18" i="44" s="1"/>
  <c r="B17" i="44"/>
  <c r="B18" i="44" s="1"/>
  <c r="M8" i="44"/>
  <c r="F42" i="46"/>
  <c r="F61" i="28"/>
  <c r="E9" i="44"/>
  <c r="E10" i="44" s="1"/>
  <c r="I9" i="44"/>
  <c r="I10" i="44" s="1"/>
  <c r="D9" i="44"/>
  <c r="D10" i="44" s="1"/>
  <c r="H9" i="44"/>
  <c r="H10" i="44" s="1"/>
  <c r="L9" i="44"/>
  <c r="L10" i="44" s="1"/>
  <c r="C9" i="44"/>
  <c r="C10" i="44" s="1"/>
  <c r="G9" i="44"/>
  <c r="G10" i="44" s="1"/>
  <c r="K9" i="44"/>
  <c r="K10" i="44" s="1"/>
  <c r="B9" i="44"/>
  <c r="B10" i="44" s="1"/>
  <c r="F9" i="44"/>
  <c r="F10" i="44" s="1"/>
  <c r="J9" i="44"/>
  <c r="J10" i="44" s="1"/>
  <c r="D17" i="44"/>
  <c r="D18" i="44" s="1"/>
  <c r="F64" i="28" l="1"/>
  <c r="F63" i="28"/>
  <c r="E62" i="28"/>
  <c r="M10" i="44"/>
  <c r="C19" i="44" s="1"/>
  <c r="C20" i="44" s="1"/>
  <c r="M9" i="44"/>
  <c r="F62" i="28" l="1"/>
  <c r="B19" i="44"/>
  <c r="B20" i="44" s="1"/>
  <c r="D19" i="44"/>
  <c r="D20" i="44" s="1"/>
  <c r="G14" i="43" l="1"/>
  <c r="E32" i="28" s="1"/>
  <c r="G13" i="43"/>
  <c r="E31" i="28" s="1"/>
  <c r="G12" i="43"/>
  <c r="E30" i="28" s="1"/>
  <c r="E29" i="28"/>
  <c r="E73" i="41"/>
  <c r="F73" i="41" s="1"/>
  <c r="E72" i="41"/>
  <c r="F72" i="41" s="1"/>
  <c r="E71" i="41"/>
  <c r="F71" i="41" s="1"/>
  <c r="E70" i="41"/>
  <c r="F70" i="41" s="1"/>
  <c r="E69" i="41"/>
  <c r="F69" i="41" s="1"/>
  <c r="E68" i="41"/>
  <c r="F68" i="41" s="1"/>
  <c r="E67" i="41"/>
  <c r="F67" i="41" s="1"/>
  <c r="E66" i="41"/>
  <c r="F66" i="41" s="1"/>
  <c r="E65" i="41"/>
  <c r="F65" i="41" s="1"/>
  <c r="E64" i="41"/>
  <c r="F64" i="41" s="1"/>
  <c r="E63" i="41"/>
  <c r="F63" i="41" s="1"/>
  <c r="E62" i="41"/>
  <c r="F62" i="41" s="1"/>
  <c r="E61" i="41"/>
  <c r="F61" i="41" s="1"/>
  <c r="E60" i="41"/>
  <c r="F60" i="41" s="1"/>
  <c r="E58" i="41"/>
  <c r="F58" i="41" s="1"/>
  <c r="E57" i="41"/>
  <c r="F57" i="41" s="1"/>
  <c r="E56" i="41"/>
  <c r="F56" i="41" s="1"/>
  <c r="E54" i="41"/>
  <c r="F54" i="41" s="1"/>
  <c r="E53" i="41"/>
  <c r="F53" i="41" s="1"/>
  <c r="E52" i="41"/>
  <c r="F52" i="41" s="1"/>
  <c r="E51" i="41"/>
  <c r="F51" i="41" s="1"/>
  <c r="E50" i="41"/>
  <c r="F50" i="41" s="1"/>
  <c r="E49" i="41"/>
  <c r="F49" i="41" s="1"/>
  <c r="E48" i="41"/>
  <c r="F48" i="41" s="1"/>
  <c r="E46" i="41"/>
  <c r="F46" i="41" s="1"/>
  <c r="E45" i="41"/>
  <c r="F45" i="41" s="1"/>
  <c r="E44" i="41"/>
  <c r="F44" i="41" s="1"/>
  <c r="E43" i="41"/>
  <c r="F43" i="41" s="1"/>
  <c r="E42" i="41"/>
  <c r="F42" i="41" s="1"/>
  <c r="E41" i="41"/>
  <c r="F41" i="41" s="1"/>
  <c r="E40" i="41"/>
  <c r="F40" i="41" s="1"/>
  <c r="E39" i="41"/>
  <c r="F39" i="41" s="1"/>
  <c r="E38" i="41"/>
  <c r="F38" i="41" s="1"/>
  <c r="E37" i="41"/>
  <c r="F37" i="41" s="1"/>
  <c r="E36" i="41"/>
  <c r="F36" i="41" s="1"/>
  <c r="E35" i="41"/>
  <c r="F35" i="41" s="1"/>
  <c r="E34" i="41"/>
  <c r="F34" i="41" s="1"/>
  <c r="E33" i="41"/>
  <c r="F33" i="41" s="1"/>
  <c r="E32" i="41"/>
  <c r="F32" i="41" s="1"/>
  <c r="E31" i="41"/>
  <c r="F31" i="41" s="1"/>
  <c r="E30" i="41"/>
  <c r="F30" i="41" s="1"/>
  <c r="E29" i="41"/>
  <c r="F29" i="41" s="1"/>
  <c r="E28" i="41"/>
  <c r="F28" i="41" s="1"/>
  <c r="E27" i="41"/>
  <c r="F27" i="41" s="1"/>
  <c r="E26" i="41"/>
  <c r="F26" i="41" s="1"/>
  <c r="E25" i="41"/>
  <c r="F25" i="41" s="1"/>
  <c r="E24" i="41"/>
  <c r="F24" i="41" s="1"/>
  <c r="E23" i="41"/>
  <c r="F23" i="41" s="1"/>
  <c r="E22" i="41"/>
  <c r="F22" i="41" s="1"/>
  <c r="E21" i="41"/>
  <c r="F21" i="41" s="1"/>
  <c r="E20" i="41"/>
  <c r="F20" i="41" s="1"/>
  <c r="E19" i="41"/>
  <c r="F19" i="41" s="1"/>
  <c r="E18" i="41"/>
  <c r="F18" i="41" s="1"/>
  <c r="E16" i="41"/>
  <c r="F16" i="41" s="1"/>
  <c r="E15" i="41"/>
  <c r="F15" i="41" s="1"/>
  <c r="E14" i="41"/>
  <c r="F14" i="41" s="1"/>
  <c r="E13" i="41"/>
  <c r="F13" i="41" s="1"/>
  <c r="E12" i="41"/>
  <c r="F12" i="41" s="1"/>
  <c r="F11" i="41"/>
  <c r="F30" i="28" l="1"/>
  <c r="F29" i="28"/>
  <c r="F32" i="28"/>
  <c r="F31" i="28"/>
  <c r="G15" i="38"/>
  <c r="G17" i="38" s="1"/>
  <c r="G15" i="36"/>
  <c r="G14" i="36"/>
  <c r="G13" i="36"/>
  <c r="G12" i="36"/>
  <c r="G13" i="34"/>
  <c r="G14" i="34"/>
  <c r="M13" i="30"/>
  <c r="M14" i="30"/>
  <c r="M15" i="30"/>
  <c r="F23" i="28"/>
  <c r="G12" i="32"/>
  <c r="G11" i="32"/>
  <c r="E25" i="28" l="1"/>
  <c r="E26" i="28"/>
  <c r="E24" i="28"/>
  <c r="E27" i="28"/>
  <c r="E28" i="28"/>
  <c r="G33" i="34"/>
  <c r="E69" i="28" s="1"/>
  <c r="E72" i="28"/>
  <c r="G16" i="36"/>
  <c r="F70" i="28" s="1"/>
  <c r="E71" i="28"/>
  <c r="J19" i="19"/>
  <c r="J18" i="19"/>
  <c r="J15" i="19"/>
  <c r="K22" i="19"/>
  <c r="J22" i="19"/>
  <c r="J10" i="19"/>
  <c r="K10" i="19"/>
  <c r="J11" i="19"/>
  <c r="K11" i="19"/>
  <c r="J12" i="19"/>
  <c r="K12" i="19"/>
  <c r="J13" i="19"/>
  <c r="K13" i="19"/>
  <c r="J14" i="19"/>
  <c r="K14" i="19"/>
  <c r="K15" i="19"/>
  <c r="J16" i="19"/>
  <c r="K16" i="19"/>
  <c r="J17" i="19"/>
  <c r="K17" i="19"/>
  <c r="K18" i="19"/>
  <c r="K19" i="19"/>
  <c r="J20" i="19"/>
  <c r="K20" i="19"/>
  <c r="J21" i="19"/>
  <c r="K21" i="19"/>
  <c r="J23" i="19"/>
  <c r="K23" i="19"/>
  <c r="J24" i="19"/>
  <c r="K24" i="19"/>
  <c r="J25" i="19"/>
  <c r="K25" i="19"/>
  <c r="J26" i="19"/>
  <c r="K26" i="19"/>
  <c r="J27" i="19"/>
  <c r="K27" i="19"/>
  <c r="J28" i="19"/>
  <c r="K28" i="19"/>
  <c r="J29" i="19"/>
  <c r="K29" i="19"/>
  <c r="J30" i="19"/>
  <c r="K30" i="19"/>
  <c r="J31" i="19"/>
  <c r="K31" i="19"/>
  <c r="J32" i="19"/>
  <c r="K32" i="19"/>
  <c r="J33" i="19"/>
  <c r="K33" i="19"/>
  <c r="J34" i="19"/>
  <c r="K34" i="19"/>
  <c r="J35" i="19"/>
  <c r="K35" i="19"/>
  <c r="J36" i="19"/>
  <c r="K36" i="19"/>
  <c r="J37" i="19"/>
  <c r="K37" i="19"/>
  <c r="J38" i="19"/>
  <c r="K38" i="19"/>
  <c r="J39" i="19"/>
  <c r="K39" i="19"/>
  <c r="K42" i="19"/>
  <c r="F27" i="28" l="1"/>
  <c r="F71" i="28"/>
  <c r="F28" i="28"/>
  <c r="F25" i="28"/>
  <c r="F69" i="28"/>
  <c r="F26" i="28"/>
  <c r="F72" i="28"/>
  <c r="F24" i="28"/>
  <c r="J40" i="19"/>
  <c r="J41" i="19" s="1"/>
  <c r="E11" i="27"/>
  <c r="F11" i="27" s="1"/>
  <c r="J11" i="27" s="1"/>
  <c r="J26" i="27" s="1"/>
  <c r="L28" i="27" s="1"/>
  <c r="E21" i="26"/>
  <c r="F21" i="26" s="1"/>
  <c r="J21" i="26" s="1"/>
  <c r="E20" i="26"/>
  <c r="E19" i="26"/>
  <c r="F19" i="26" s="1"/>
  <c r="J19" i="26" s="1"/>
  <c r="E18" i="26"/>
  <c r="F18" i="26" s="1"/>
  <c r="J18" i="26" s="1"/>
  <c r="E17" i="26"/>
  <c r="F17" i="26" s="1"/>
  <c r="J17" i="26" s="1"/>
  <c r="E16" i="26"/>
  <c r="E15" i="26"/>
  <c r="F15" i="26" s="1"/>
  <c r="J15" i="26" s="1"/>
  <c r="E14" i="26"/>
  <c r="F14" i="26" s="1"/>
  <c r="J14" i="26" s="1"/>
  <c r="E13" i="26"/>
  <c r="F13" i="26" s="1"/>
  <c r="J13" i="26" s="1"/>
  <c r="E12" i="26"/>
  <c r="F12" i="26" s="1"/>
  <c r="J12" i="26" s="1"/>
  <c r="E11" i="26"/>
  <c r="F11" i="26" s="1"/>
  <c r="J11" i="26" s="1"/>
  <c r="E42" i="25"/>
  <c r="F42" i="25" s="1"/>
  <c r="E41" i="25"/>
  <c r="F41" i="25" s="1"/>
  <c r="E33" i="25"/>
  <c r="F33" i="25" s="1"/>
  <c r="E32" i="25"/>
  <c r="F32" i="25" s="1"/>
  <c r="E31" i="25"/>
  <c r="F31" i="25" s="1"/>
  <c r="E30" i="25"/>
  <c r="F30" i="25" s="1"/>
  <c r="E29" i="25"/>
  <c r="F29" i="25" s="1"/>
  <c r="E28" i="25"/>
  <c r="F28" i="25" s="1"/>
  <c r="E27" i="25"/>
  <c r="F27" i="25" s="1"/>
  <c r="E22" i="25"/>
  <c r="F22" i="25" s="1"/>
  <c r="E21" i="25"/>
  <c r="F21" i="25" s="1"/>
  <c r="E20" i="25"/>
  <c r="F20" i="25" s="1"/>
  <c r="E19" i="25"/>
  <c r="F19" i="25" s="1"/>
  <c r="E18" i="25"/>
  <c r="F18" i="25" s="1"/>
  <c r="E17" i="25"/>
  <c r="F17" i="25" s="1"/>
  <c r="E16" i="25"/>
  <c r="F16" i="25" s="1"/>
  <c r="E15" i="25"/>
  <c r="F15" i="25" s="1"/>
  <c r="E14" i="25"/>
  <c r="F14" i="25" s="1"/>
  <c r="E13" i="25"/>
  <c r="F13" i="25" s="1"/>
  <c r="E12" i="25"/>
  <c r="F12" i="25" s="1"/>
  <c r="I17" i="24"/>
  <c r="E16" i="24"/>
  <c r="I16" i="24" s="1"/>
  <c r="E15" i="24"/>
  <c r="I15" i="24" s="1"/>
  <c r="E14" i="24"/>
  <c r="I14" i="24" s="1"/>
  <c r="E13" i="24"/>
  <c r="I13" i="24" s="1"/>
  <c r="E12" i="24"/>
  <c r="I12" i="24" s="1"/>
  <c r="E11" i="24"/>
  <c r="I11" i="24" s="1"/>
  <c r="J34" i="23"/>
  <c r="J35" i="23"/>
  <c r="J36" i="23"/>
  <c r="J37" i="23"/>
  <c r="J33" i="23"/>
  <c r="J29" i="23"/>
  <c r="J30" i="23"/>
  <c r="J31" i="23"/>
  <c r="J28" i="23"/>
  <c r="J27" i="23"/>
  <c r="J25" i="23"/>
  <c r="J13" i="23"/>
  <c r="J14" i="23"/>
  <c r="J15" i="23"/>
  <c r="J16" i="23"/>
  <c r="J17" i="23"/>
  <c r="J18" i="23"/>
  <c r="J19" i="23"/>
  <c r="J20" i="23"/>
  <c r="J21" i="23"/>
  <c r="J22" i="23"/>
  <c r="J23" i="23"/>
  <c r="H12" i="22"/>
  <c r="H13" i="22"/>
  <c r="H14" i="22"/>
  <c r="F12" i="21"/>
  <c r="F11" i="21"/>
  <c r="G13" i="20"/>
  <c r="E35" i="28" s="1"/>
  <c r="F35" i="28" s="1"/>
  <c r="K40" i="19"/>
  <c r="N26" i="18"/>
  <c r="N27" i="18"/>
  <c r="O27" i="18"/>
  <c r="O26" i="18"/>
  <c r="J25" i="18"/>
  <c r="O25" i="18" s="1"/>
  <c r="N25" i="18"/>
  <c r="J24" i="18"/>
  <c r="O24" i="18" s="1"/>
  <c r="F24" i="18"/>
  <c r="N24" i="18" s="1"/>
  <c r="J23" i="18"/>
  <c r="O23" i="18" s="1"/>
  <c r="F23" i="18"/>
  <c r="N23" i="18" s="1"/>
  <c r="J22" i="18"/>
  <c r="O22" i="18" s="1"/>
  <c r="F22" i="18"/>
  <c r="N22" i="18" s="1"/>
  <c r="J21" i="18"/>
  <c r="O21" i="18" s="1"/>
  <c r="F21" i="18"/>
  <c r="N21" i="18" s="1"/>
  <c r="J20" i="18"/>
  <c r="O20" i="18" s="1"/>
  <c r="F20" i="18"/>
  <c r="N20" i="18" s="1"/>
  <c r="J19" i="18"/>
  <c r="O19" i="18" s="1"/>
  <c r="F19" i="18"/>
  <c r="N19" i="18" s="1"/>
  <c r="J18" i="18"/>
  <c r="O18" i="18" s="1"/>
  <c r="F18" i="18"/>
  <c r="N18" i="18" s="1"/>
  <c r="J17" i="18"/>
  <c r="O17" i="18" s="1"/>
  <c r="F17" i="18"/>
  <c r="N17" i="18" s="1"/>
  <c r="J16" i="18"/>
  <c r="O16" i="18" s="1"/>
  <c r="F16" i="18"/>
  <c r="N16" i="18" s="1"/>
  <c r="J15" i="18"/>
  <c r="O15" i="18" s="1"/>
  <c r="F15" i="18"/>
  <c r="N15" i="18" s="1"/>
  <c r="J14" i="18"/>
  <c r="O14" i="18" s="1"/>
  <c r="F14" i="18"/>
  <c r="N14" i="18" s="1"/>
  <c r="J13" i="18"/>
  <c r="O13" i="18" s="1"/>
  <c r="F13" i="18"/>
  <c r="N13" i="18" s="1"/>
  <c r="J12" i="18"/>
  <c r="O12" i="18" s="1"/>
  <c r="F12" i="18"/>
  <c r="N12" i="18" s="1"/>
  <c r="B27" i="17"/>
  <c r="C33" i="17"/>
  <c r="D33" i="17"/>
  <c r="E33" i="17"/>
  <c r="F33" i="17"/>
  <c r="G33" i="17"/>
  <c r="H33" i="17"/>
  <c r="I33" i="17"/>
  <c r="J33" i="17"/>
  <c r="K33" i="17"/>
  <c r="L33" i="17"/>
  <c r="M33" i="17"/>
  <c r="N33" i="17"/>
  <c r="O33" i="17"/>
  <c r="C36" i="17"/>
  <c r="D36" i="17"/>
  <c r="E36" i="17"/>
  <c r="F36" i="17"/>
  <c r="G36" i="17"/>
  <c r="H36" i="17"/>
  <c r="I36" i="17"/>
  <c r="J36" i="17"/>
  <c r="K36" i="17"/>
  <c r="L36" i="17"/>
  <c r="M36" i="17"/>
  <c r="N36" i="17"/>
  <c r="O36" i="17"/>
  <c r="O29" i="17"/>
  <c r="N29" i="17"/>
  <c r="M29" i="17"/>
  <c r="J29" i="17"/>
  <c r="I29" i="17"/>
  <c r="H29" i="17"/>
  <c r="G29" i="17"/>
  <c r="F29" i="17"/>
  <c r="E29" i="17"/>
  <c r="D29" i="17"/>
  <c r="C29" i="17"/>
  <c r="B29" i="17"/>
  <c r="O26" i="17"/>
  <c r="N26" i="17"/>
  <c r="M26" i="17"/>
  <c r="I27" i="17"/>
  <c r="H27" i="17"/>
  <c r="G26" i="17"/>
  <c r="E26" i="17"/>
  <c r="E27" i="17" s="1"/>
  <c r="D27" i="17"/>
  <c r="C27" i="17"/>
  <c r="L15" i="17"/>
  <c r="L29" i="17" s="1"/>
  <c r="K15" i="17"/>
  <c r="K29" i="17" s="1"/>
  <c r="F12" i="6"/>
  <c r="F11" i="6"/>
  <c r="E13" i="15"/>
  <c r="E14" i="15"/>
  <c r="E15" i="15"/>
  <c r="E16" i="15"/>
  <c r="E17" i="15"/>
  <c r="E12" i="15"/>
  <c r="E11" i="15"/>
  <c r="E22" i="12"/>
  <c r="F22" i="12" s="1"/>
  <c r="J22" i="12" s="1"/>
  <c r="E21" i="12"/>
  <c r="F21" i="12" s="1"/>
  <c r="J21" i="12" s="1"/>
  <c r="E20" i="12"/>
  <c r="F20" i="12" s="1"/>
  <c r="J20" i="12" s="1"/>
  <c r="E19" i="12"/>
  <c r="F19" i="12" s="1"/>
  <c r="J19" i="12" s="1"/>
  <c r="E18" i="12"/>
  <c r="F18" i="12" s="1"/>
  <c r="J18" i="12" s="1"/>
  <c r="E17" i="12"/>
  <c r="F17" i="12" s="1"/>
  <c r="J17" i="12" s="1"/>
  <c r="E16" i="12"/>
  <c r="F16" i="12" s="1"/>
  <c r="J16" i="12" s="1"/>
  <c r="E15" i="12"/>
  <c r="F15" i="12" s="1"/>
  <c r="J15" i="12" s="1"/>
  <c r="E14" i="12"/>
  <c r="F14" i="12" s="1"/>
  <c r="J14" i="12" s="1"/>
  <c r="E13" i="12"/>
  <c r="F13" i="12" s="1"/>
  <c r="J13" i="12" s="1"/>
  <c r="E12" i="12"/>
  <c r="E61" i="13"/>
  <c r="F61" i="13" s="1"/>
  <c r="J61" i="13" s="1"/>
  <c r="E62" i="13"/>
  <c r="F62" i="13" s="1"/>
  <c r="J62" i="13" s="1"/>
  <c r="E63" i="13"/>
  <c r="F63" i="13" s="1"/>
  <c r="J63" i="13" s="1"/>
  <c r="E64" i="13"/>
  <c r="F64" i="13" s="1"/>
  <c r="J64" i="13" s="1"/>
  <c r="E65" i="13"/>
  <c r="F65" i="13" s="1"/>
  <c r="J65" i="13" s="1"/>
  <c r="E66" i="13"/>
  <c r="F66" i="13" s="1"/>
  <c r="J66" i="13" s="1"/>
  <c r="E67" i="13"/>
  <c r="F67" i="13" s="1"/>
  <c r="J67" i="13" s="1"/>
  <c r="E68" i="13"/>
  <c r="F68" i="13" s="1"/>
  <c r="J68" i="13" s="1"/>
  <c r="E69" i="13"/>
  <c r="F69" i="13" s="1"/>
  <c r="J69" i="13" s="1"/>
  <c r="E70" i="13"/>
  <c r="F70" i="13" s="1"/>
  <c r="J70" i="13" s="1"/>
  <c r="E71" i="13"/>
  <c r="F71" i="13" s="1"/>
  <c r="J71" i="13" s="1"/>
  <c r="E72" i="13"/>
  <c r="F72" i="13" s="1"/>
  <c r="J72" i="13" s="1"/>
  <c r="E73" i="13"/>
  <c r="F73" i="13" s="1"/>
  <c r="J73" i="13" s="1"/>
  <c r="E60" i="13"/>
  <c r="F60" i="13" s="1"/>
  <c r="J60" i="13" s="1"/>
  <c r="E57" i="13"/>
  <c r="F57" i="13" s="1"/>
  <c r="J57" i="13" s="1"/>
  <c r="E58" i="13"/>
  <c r="F58" i="13" s="1"/>
  <c r="J58" i="13" s="1"/>
  <c r="E56" i="13"/>
  <c r="F56" i="13" s="1"/>
  <c r="J56" i="13" s="1"/>
  <c r="E49" i="13"/>
  <c r="F49" i="13" s="1"/>
  <c r="J49" i="13" s="1"/>
  <c r="E50" i="13"/>
  <c r="F50" i="13" s="1"/>
  <c r="J50" i="13" s="1"/>
  <c r="E51" i="13"/>
  <c r="F51" i="13" s="1"/>
  <c r="J51" i="13" s="1"/>
  <c r="E52" i="13"/>
  <c r="F52" i="13" s="1"/>
  <c r="J52" i="13" s="1"/>
  <c r="E53" i="13"/>
  <c r="F53" i="13" s="1"/>
  <c r="J53" i="13" s="1"/>
  <c r="E54" i="13"/>
  <c r="F54" i="13" s="1"/>
  <c r="J54" i="13" s="1"/>
  <c r="E48" i="13"/>
  <c r="F48" i="13" s="1"/>
  <c r="J48" i="13" s="1"/>
  <c r="E31" i="13"/>
  <c r="F31" i="13" s="1"/>
  <c r="J31" i="13" s="1"/>
  <c r="E32" i="13"/>
  <c r="F32" i="13" s="1"/>
  <c r="J32" i="13" s="1"/>
  <c r="E33" i="13"/>
  <c r="F33" i="13" s="1"/>
  <c r="J33" i="13" s="1"/>
  <c r="E34" i="13"/>
  <c r="F34" i="13" s="1"/>
  <c r="J34" i="13" s="1"/>
  <c r="E35" i="13"/>
  <c r="F35" i="13" s="1"/>
  <c r="J35" i="13" s="1"/>
  <c r="E36" i="13"/>
  <c r="F36" i="13" s="1"/>
  <c r="J36" i="13" s="1"/>
  <c r="E37" i="13"/>
  <c r="F37" i="13" s="1"/>
  <c r="J37" i="13" s="1"/>
  <c r="E38" i="13"/>
  <c r="F38" i="13" s="1"/>
  <c r="J38" i="13" s="1"/>
  <c r="E39" i="13"/>
  <c r="F39" i="13" s="1"/>
  <c r="J39" i="13" s="1"/>
  <c r="E40" i="13"/>
  <c r="F40" i="13" s="1"/>
  <c r="J40" i="13" s="1"/>
  <c r="E41" i="13"/>
  <c r="F41" i="13" s="1"/>
  <c r="J41" i="13" s="1"/>
  <c r="E42" i="13"/>
  <c r="F42" i="13" s="1"/>
  <c r="J42" i="13" s="1"/>
  <c r="E43" i="13"/>
  <c r="F43" i="13" s="1"/>
  <c r="J43" i="13" s="1"/>
  <c r="E44" i="13"/>
  <c r="F44" i="13" s="1"/>
  <c r="J44" i="13" s="1"/>
  <c r="E45" i="13"/>
  <c r="F45" i="13" s="1"/>
  <c r="J45" i="13" s="1"/>
  <c r="E46" i="13"/>
  <c r="F46" i="13" s="1"/>
  <c r="J46" i="13" s="1"/>
  <c r="E22" i="13"/>
  <c r="F22" i="13" s="1"/>
  <c r="J22" i="13" s="1"/>
  <c r="E23" i="13"/>
  <c r="F23" i="13" s="1"/>
  <c r="J23" i="13" s="1"/>
  <c r="E24" i="13"/>
  <c r="F24" i="13" s="1"/>
  <c r="J24" i="13" s="1"/>
  <c r="E25" i="13"/>
  <c r="F25" i="13" s="1"/>
  <c r="J25" i="13" s="1"/>
  <c r="E26" i="13"/>
  <c r="F26" i="13" s="1"/>
  <c r="J26" i="13" s="1"/>
  <c r="E27" i="13"/>
  <c r="F27" i="13" s="1"/>
  <c r="J27" i="13" s="1"/>
  <c r="E28" i="13"/>
  <c r="F28" i="13" s="1"/>
  <c r="J28" i="13" s="1"/>
  <c r="E29" i="13"/>
  <c r="F29" i="13" s="1"/>
  <c r="J29" i="13" s="1"/>
  <c r="E30" i="13"/>
  <c r="F30" i="13" s="1"/>
  <c r="J30" i="13" s="1"/>
  <c r="E21" i="14"/>
  <c r="F21" i="14" s="1"/>
  <c r="E20" i="14"/>
  <c r="F20" i="14" s="1"/>
  <c r="E19" i="14"/>
  <c r="F19" i="14" s="1"/>
  <c r="E18" i="14"/>
  <c r="F18" i="14" s="1"/>
  <c r="E17" i="14"/>
  <c r="F17" i="14" s="1"/>
  <c r="E16" i="14"/>
  <c r="F16" i="14" s="1"/>
  <c r="E15" i="14"/>
  <c r="F15" i="14" s="1"/>
  <c r="E14" i="14"/>
  <c r="F14" i="14" s="1"/>
  <c r="E13" i="14"/>
  <c r="F13" i="14" s="1"/>
  <c r="E12" i="14"/>
  <c r="F12" i="14" s="1"/>
  <c r="E11" i="14"/>
  <c r="F11" i="14" s="1"/>
  <c r="E21" i="13"/>
  <c r="F21" i="13" s="1"/>
  <c r="J21" i="13" s="1"/>
  <c r="E20" i="13"/>
  <c r="F20" i="13" s="1"/>
  <c r="J20" i="13" s="1"/>
  <c r="E19" i="13"/>
  <c r="F19" i="13" s="1"/>
  <c r="J19" i="13" s="1"/>
  <c r="E18" i="13"/>
  <c r="F18" i="13" s="1"/>
  <c r="J18" i="13" s="1"/>
  <c r="E16" i="13"/>
  <c r="F16" i="13" s="1"/>
  <c r="J16" i="13" s="1"/>
  <c r="E15" i="13"/>
  <c r="F15" i="13" s="1"/>
  <c r="J15" i="13" s="1"/>
  <c r="E14" i="13"/>
  <c r="F14" i="13" s="1"/>
  <c r="J14" i="13" s="1"/>
  <c r="E13" i="13"/>
  <c r="F13" i="13" s="1"/>
  <c r="J13" i="13" s="1"/>
  <c r="E12" i="13"/>
  <c r="F12" i="13" s="1"/>
  <c r="J12" i="13" s="1"/>
  <c r="F11" i="13"/>
  <c r="J11" i="13" s="1"/>
  <c r="E37" i="11"/>
  <c r="F37" i="11" s="1"/>
  <c r="E36" i="11"/>
  <c r="F36" i="11" s="1"/>
  <c r="E33" i="11"/>
  <c r="F33" i="11" s="1"/>
  <c r="E34" i="11"/>
  <c r="F34" i="11" s="1"/>
  <c r="E32" i="11"/>
  <c r="F32" i="11" s="1"/>
  <c r="E25" i="11"/>
  <c r="F25" i="11" s="1"/>
  <c r="E26" i="11"/>
  <c r="F26" i="11" s="1"/>
  <c r="E27" i="11"/>
  <c r="F27" i="11" s="1"/>
  <c r="E28" i="11"/>
  <c r="F28" i="11" s="1"/>
  <c r="E29" i="11"/>
  <c r="F29" i="11" s="1"/>
  <c r="E30" i="11"/>
  <c r="F30" i="11" s="1"/>
  <c r="E24" i="11"/>
  <c r="F24" i="11" s="1"/>
  <c r="E12" i="11"/>
  <c r="F12" i="11" s="1"/>
  <c r="E13" i="11"/>
  <c r="F13" i="11" s="1"/>
  <c r="E14" i="11"/>
  <c r="F14" i="11" s="1"/>
  <c r="E15" i="11"/>
  <c r="F15" i="11" s="1"/>
  <c r="E16" i="11"/>
  <c r="F16" i="11" s="1"/>
  <c r="E17" i="11"/>
  <c r="F17" i="11" s="1"/>
  <c r="E18" i="11"/>
  <c r="F18" i="11" s="1"/>
  <c r="E19" i="11"/>
  <c r="F19" i="11" s="1"/>
  <c r="E20" i="11"/>
  <c r="F20" i="11" s="1"/>
  <c r="E21" i="11"/>
  <c r="F21" i="11" s="1"/>
  <c r="E22" i="11"/>
  <c r="F22" i="11" s="1"/>
  <c r="E11" i="11"/>
  <c r="F11" i="11" s="1"/>
  <c r="M27" i="17" l="1"/>
  <c r="J27" i="17"/>
  <c r="H30" i="17"/>
  <c r="G30" i="17"/>
  <c r="D30" i="17"/>
  <c r="C30" i="17"/>
  <c r="I30" i="17"/>
  <c r="F30" i="17"/>
  <c r="B30" i="17"/>
  <c r="O27" i="17"/>
  <c r="O30" i="17"/>
  <c r="M30" i="17"/>
  <c r="J30" i="17"/>
  <c r="G27" i="17"/>
  <c r="P27" i="17" s="1"/>
  <c r="E30" i="17"/>
  <c r="L30" i="17"/>
  <c r="K30" i="17"/>
  <c r="N27" i="17"/>
  <c r="N30" i="17"/>
  <c r="J77" i="13"/>
  <c r="I20" i="24"/>
  <c r="E108" i="28" s="1"/>
  <c r="F16" i="26"/>
  <c r="J16" i="26" s="1"/>
  <c r="N31" i="18"/>
  <c r="E104" i="28" s="1"/>
  <c r="O31" i="18"/>
  <c r="E103" i="28" s="1"/>
  <c r="F12" i="12"/>
  <c r="J12" i="12" s="1"/>
  <c r="J23" i="12" s="1"/>
  <c r="K27" i="17"/>
  <c r="J38" i="23"/>
  <c r="E107" i="28" s="1"/>
  <c r="F20" i="26"/>
  <c r="J20" i="26" s="1"/>
  <c r="P33" i="17"/>
  <c r="E101" i="28" s="1"/>
  <c r="P36" i="17"/>
  <c r="E102" i="28" s="1"/>
  <c r="K41" i="19"/>
  <c r="J13" i="21"/>
  <c r="L27" i="17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L12" i="2"/>
  <c r="L25" i="2" s="1"/>
  <c r="K12" i="2"/>
  <c r="K23" i="2" s="1"/>
  <c r="O25" i="2"/>
  <c r="N25" i="2"/>
  <c r="M25" i="2"/>
  <c r="J25" i="2"/>
  <c r="I25" i="2"/>
  <c r="H25" i="2"/>
  <c r="G25" i="2"/>
  <c r="F25" i="2"/>
  <c r="E25" i="2"/>
  <c r="D25" i="2"/>
  <c r="C25" i="2"/>
  <c r="B25" i="2"/>
  <c r="O23" i="2"/>
  <c r="N23" i="2"/>
  <c r="M23" i="2"/>
  <c r="J23" i="2"/>
  <c r="I23" i="2"/>
  <c r="H23" i="2"/>
  <c r="G23" i="2"/>
  <c r="F23" i="2"/>
  <c r="E23" i="2"/>
  <c r="D23" i="2"/>
  <c r="C23" i="2"/>
  <c r="B23" i="2"/>
  <c r="H11" i="22"/>
  <c r="F107" i="28" l="1"/>
  <c r="F108" i="28"/>
  <c r="P30" i="17"/>
  <c r="E100" i="28" s="1"/>
  <c r="F102" i="28"/>
  <c r="F101" i="28"/>
  <c r="F103" i="28"/>
  <c r="F104" i="28"/>
  <c r="J22" i="26"/>
  <c r="J40" i="26" s="1"/>
  <c r="E92" i="28" s="1"/>
  <c r="H18" i="22"/>
  <c r="E105" i="28" s="1"/>
  <c r="E15" i="28"/>
  <c r="K25" i="2"/>
  <c r="E94" i="28"/>
  <c r="L23" i="2"/>
  <c r="E99" i="28"/>
  <c r="F92" i="28" l="1"/>
  <c r="F105" i="28"/>
  <c r="F15" i="28"/>
  <c r="F94" i="28"/>
  <c r="F100" i="28"/>
  <c r="F99" i="28"/>
  <c r="I11" i="78"/>
  <c r="I12" i="78" s="1"/>
  <c r="I12" i="92"/>
  <c r="J11" i="78"/>
  <c r="J12" i="78" s="1"/>
  <c r="F11" i="78"/>
  <c r="E78" i="28" l="1"/>
  <c r="J12" i="92" l="1"/>
  <c r="F79" i="28"/>
  <c r="E79" i="28" l="1"/>
  <c r="H42" i="25"/>
  <c r="I42" i="25" s="1"/>
  <c r="J42" i="25" s="1"/>
  <c r="H32" i="25"/>
  <c r="I32" i="25" s="1"/>
  <c r="I12" i="25"/>
  <c r="J12" i="25" s="1"/>
  <c r="H29" i="25"/>
  <c r="I29" i="25" s="1"/>
  <c r="I20" i="25"/>
  <c r="J20" i="25" s="1"/>
  <c r="I18" i="25"/>
  <c r="J18" i="25" s="1"/>
  <c r="I22" i="25"/>
  <c r="J22" i="25" s="1"/>
  <c r="H28" i="25"/>
  <c r="I28" i="25" s="1"/>
  <c r="J28" i="25" s="1"/>
  <c r="I11" i="25"/>
  <c r="J11" i="25" s="1"/>
  <c r="I21" i="25"/>
  <c r="J21" i="25" s="1"/>
  <c r="I15" i="25"/>
  <c r="J15" i="25" s="1"/>
  <c r="H27" i="25"/>
  <c r="I27" i="25" s="1"/>
  <c r="J27" i="25" s="1"/>
  <c r="H30" i="25"/>
  <c r="I30" i="25" s="1"/>
  <c r="J30" i="25" s="1"/>
  <c r="I13" i="25"/>
  <c r="J13" i="25" s="1"/>
  <c r="I14" i="25"/>
  <c r="J14" i="25" s="1"/>
  <c r="H33" i="25"/>
  <c r="I33" i="25" s="1"/>
  <c r="J33" i="25" s="1"/>
  <c r="I17" i="25"/>
  <c r="J17" i="25" s="1"/>
  <c r="H31" i="25"/>
  <c r="I31" i="25" s="1"/>
  <c r="H41" i="25"/>
  <c r="I41" i="25" s="1"/>
  <c r="J41" i="25" s="1"/>
  <c r="I19" i="25"/>
  <c r="J19" i="25" s="1"/>
  <c r="I16" i="25"/>
  <c r="J16" i="25" s="1"/>
  <c r="J25" i="25" l="1"/>
  <c r="J29" i="25"/>
  <c r="K29" i="25"/>
  <c r="K32" i="25"/>
  <c r="J32" i="25"/>
  <c r="J31" i="25"/>
  <c r="K31" i="25"/>
  <c r="J43" i="25"/>
  <c r="K30" i="25"/>
  <c r="J39" i="25" l="1"/>
  <c r="J44" i="25" s="1"/>
  <c r="E91" i="28" s="1"/>
  <c r="F91" i="28" l="1"/>
</calcChain>
</file>

<file path=xl/sharedStrings.xml><?xml version="1.0" encoding="utf-8"?>
<sst xmlns="http://schemas.openxmlformats.org/spreadsheetml/2006/main" count="7924" uniqueCount="4731">
  <si>
    <t>Наименование продуктов</t>
  </si>
  <si>
    <t>Для детей в возрасте до 3 лет в уч-иях с длительностью прибывания 12час.</t>
  </si>
  <si>
    <t>Картофель</t>
  </si>
  <si>
    <t>Овощи разные</t>
  </si>
  <si>
    <t>Кондитерские изделия</t>
  </si>
  <si>
    <t>Сахар</t>
  </si>
  <si>
    <t>Масло сливочное</t>
  </si>
  <si>
    <t>Масло растительное</t>
  </si>
  <si>
    <t>Кофейный напиток</t>
  </si>
  <si>
    <t>Для детей в возрасте 3-7 лет в уч-иях с длительностью прибывания 12час.</t>
  </si>
  <si>
    <t>Дошкольные образовательные учреждения</t>
  </si>
  <si>
    <t>мыло</t>
  </si>
  <si>
    <t>сода</t>
  </si>
  <si>
    <t>хлорная</t>
  </si>
  <si>
    <t>ткань</t>
  </si>
  <si>
    <t>щетки</t>
  </si>
  <si>
    <t>веники</t>
  </si>
  <si>
    <t>метла</t>
  </si>
  <si>
    <t>эл.лампы</t>
  </si>
  <si>
    <t>порошок</t>
  </si>
  <si>
    <t>питьевая</t>
  </si>
  <si>
    <t>известь</t>
  </si>
  <si>
    <t>для пола</t>
  </si>
  <si>
    <t>дневн.св.</t>
  </si>
  <si>
    <t>ед.измер.</t>
  </si>
  <si>
    <t>на 1 группу</t>
  </si>
  <si>
    <t>дополнител.</t>
  </si>
  <si>
    <t>прачечная</t>
  </si>
  <si>
    <t>подстирка</t>
  </si>
  <si>
    <t>подсобные</t>
  </si>
  <si>
    <t>помещения</t>
  </si>
  <si>
    <t>и кухня</t>
  </si>
  <si>
    <t>Норма на1гр.</t>
  </si>
  <si>
    <t>с прачечной</t>
  </si>
  <si>
    <t>с подстиркой</t>
  </si>
  <si>
    <t>Школа                 всеобуча</t>
  </si>
  <si>
    <t>Внешкольные и прочие учреждения</t>
  </si>
  <si>
    <t>2010 г.</t>
  </si>
  <si>
    <t>№</t>
  </si>
  <si>
    <t>наименование</t>
  </si>
  <si>
    <t>кол-во,</t>
  </si>
  <si>
    <t>срок</t>
  </si>
  <si>
    <t>%</t>
  </si>
  <si>
    <t>п\п</t>
  </si>
  <si>
    <t>обновления,</t>
  </si>
  <si>
    <t>шт.</t>
  </si>
  <si>
    <t>лет</t>
  </si>
  <si>
    <t>Полотенца детские</t>
  </si>
  <si>
    <t xml:space="preserve">Салфетки  </t>
  </si>
  <si>
    <t>Наволочки верхние</t>
  </si>
  <si>
    <t>Наволочки набивные</t>
  </si>
  <si>
    <t>Простыни</t>
  </si>
  <si>
    <t>Пододеяльники</t>
  </si>
  <si>
    <t>Подушки</t>
  </si>
  <si>
    <t>Матрацы</t>
  </si>
  <si>
    <t>Одеяла теплые</t>
  </si>
  <si>
    <t>Одеяла байковые</t>
  </si>
  <si>
    <t>Скатерти</t>
  </si>
  <si>
    <t>Полотенца посудные</t>
  </si>
  <si>
    <t>Клеенка настольная</t>
  </si>
  <si>
    <t>Халаты,косынки,фартуки</t>
  </si>
  <si>
    <t>Пеленки легкие</t>
  </si>
  <si>
    <t>Клеенка подкладная</t>
  </si>
  <si>
    <t>Кол-во,грамм(на 1 человека в день )</t>
  </si>
  <si>
    <t>на 1класс</t>
  </si>
  <si>
    <t>на 1 учр-ние</t>
  </si>
  <si>
    <t>эксплуатации</t>
  </si>
  <si>
    <t>Приложение №</t>
  </si>
  <si>
    <t>к приказу от ____________ № ______</t>
  </si>
  <si>
    <t xml:space="preserve">Приложение № </t>
  </si>
  <si>
    <t xml:space="preserve">Нормы потребления продуктов питания на оказание муниципальных   услуг в области образования муниципальными учреждениями г.Долгопрудного </t>
  </si>
  <si>
    <t xml:space="preserve">Нормы потребления расходных материалов  на оказание   муниципальных услуг в области образования муниципальными учреждениями г.Долгопрудного </t>
  </si>
  <si>
    <t xml:space="preserve">Нормы потребления мягкого инвентаря на оказание муниципальных  услуг в области образования муниципальными учреждениями г.Долгопрудного </t>
  </si>
  <si>
    <t>Согласовано</t>
  </si>
  <si>
    <t>Начальник финансового управления</t>
  </si>
  <si>
    <t>администрации г.Долгопрудного</t>
  </si>
  <si>
    <t>__________________ М.В.Долотов</t>
  </si>
  <si>
    <t>Начальник  управления экономики</t>
  </si>
  <si>
    <t>__________________ С.А.Шабашов</t>
  </si>
  <si>
    <t>Приложение № 7</t>
  </si>
  <si>
    <t>на 1 место в саду, шт. в год</t>
  </si>
  <si>
    <t>на 1 место в яслях,шт. в год</t>
  </si>
  <si>
    <t>хозяйственное</t>
  </si>
  <si>
    <t>туалетное</t>
  </si>
  <si>
    <t>кальцинированная</t>
  </si>
  <si>
    <t>стиральный</t>
  </si>
  <si>
    <t xml:space="preserve">моющее </t>
  </si>
  <si>
    <t>средство</t>
  </si>
  <si>
    <t>горчичный</t>
  </si>
  <si>
    <t>электрические</t>
  </si>
  <si>
    <t>лампы</t>
  </si>
  <si>
    <t>кг в м-ц</t>
  </si>
  <si>
    <t>кус.в м-ц</t>
  </si>
  <si>
    <t>л в м-ц</t>
  </si>
  <si>
    <t>шт в м-ц</t>
  </si>
  <si>
    <t>м в м-ц</t>
  </si>
  <si>
    <t>Мясо бескостное</t>
  </si>
  <si>
    <t>Мясо на кости</t>
  </si>
  <si>
    <t>Птица (куры,цыплята)</t>
  </si>
  <si>
    <t>Птица (индейка)</t>
  </si>
  <si>
    <t>Колбасные изделия</t>
  </si>
  <si>
    <t>Макаронные изделия</t>
  </si>
  <si>
    <t>Крупа,бобовые</t>
  </si>
  <si>
    <t>Мука картофельная (крахмал)</t>
  </si>
  <si>
    <t>Хлеб пшеничный или хлеб зерновой</t>
  </si>
  <si>
    <t>Хлеб ржаной (ржано-пшеничный)</t>
  </si>
  <si>
    <t>Мука пшеничная хлебопекарная</t>
  </si>
  <si>
    <t>Фрукты (плоды) свежие</t>
  </si>
  <si>
    <t>Фрукты (плоды) сухие</t>
  </si>
  <si>
    <t>Яйцо куриное столовое,шт.</t>
  </si>
  <si>
    <t>Молоко и кисломолочные продукты</t>
  </si>
  <si>
    <t>Творог, творожные изделия с м.д.ж. не более 15%</t>
  </si>
  <si>
    <t>Рыба (филе), в т.ч. Филе слабо или малосоленое</t>
  </si>
  <si>
    <t>Сметана с м.д.ж. не более 15%</t>
  </si>
  <si>
    <t>Сыр твёрдый</t>
  </si>
  <si>
    <t>Чай, включая фиточай</t>
  </si>
  <si>
    <t>Какао-порошок</t>
  </si>
  <si>
    <t>Соль пищевая поваренная</t>
  </si>
  <si>
    <t>Дрожжи хлебопекарные</t>
  </si>
  <si>
    <t>Соки фруктовые(овощные)</t>
  </si>
  <si>
    <t>Напитки витаминизированные (готовый напиток)</t>
  </si>
  <si>
    <t>Наименование типа образовательной организации</t>
  </si>
  <si>
    <t>№п\п</t>
  </si>
  <si>
    <t>на 1 учащегося (воспитанника),куб.м в год</t>
  </si>
  <si>
    <t xml:space="preserve">                                     к приказу от ____________ № ______</t>
  </si>
  <si>
    <t xml:space="preserve">                                      Приложение №                        </t>
  </si>
  <si>
    <t>Общеобразовательная образовательная организация</t>
  </si>
  <si>
    <t>Дошкольная образовательная организация</t>
  </si>
  <si>
    <t>Организация дополнительного образования</t>
  </si>
  <si>
    <t>Бумага для офисной техники</t>
  </si>
  <si>
    <t>Катридж для принтера</t>
  </si>
  <si>
    <t>Катридж для ксерокса</t>
  </si>
  <si>
    <t>Бумага для факса</t>
  </si>
  <si>
    <t>на 1 организацию , в год</t>
  </si>
  <si>
    <t>Единицы измерения</t>
  </si>
  <si>
    <t>коробок</t>
  </si>
  <si>
    <t>рул.</t>
  </si>
  <si>
    <t xml:space="preserve">Нормы расхода канцелярских товаров в делопроизводстве при оказании муниципальных  услуг в области образования муниципальными учреждениями г.Долгопрудного </t>
  </si>
  <si>
    <t>Раздел 1. Комплекс оснащения общешкольных помещений</t>
  </si>
  <si>
    <t>Подраздел 1. Входная зона</t>
  </si>
  <si>
    <t>Специализированная мебель и системы хранения</t>
  </si>
  <si>
    <t>1.1.1.</t>
  </si>
  <si>
    <t>Диван модульный или кресла модульные</t>
  </si>
  <si>
    <t>1.1.2.</t>
  </si>
  <si>
    <t>Доска объявлений</t>
  </si>
  <si>
    <t>1.1.3.</t>
  </si>
  <si>
    <t>Стол для администратора</t>
  </si>
  <si>
    <t>1.1.4.</t>
  </si>
  <si>
    <t>Кресло для администратора</t>
  </si>
  <si>
    <t>IT оборудование</t>
  </si>
  <si>
    <t>Интерактивная панель</t>
  </si>
  <si>
    <t>1.1.6.</t>
  </si>
  <si>
    <t>Интерактивная стойка со встроенным планшетом</t>
  </si>
  <si>
    <t>1.1.7.</t>
  </si>
  <si>
    <t>Стойка для зарядки мобильных устройств</t>
  </si>
  <si>
    <t>1.1.8.</t>
  </si>
  <si>
    <t>Средство организации беспроводной сети</t>
  </si>
  <si>
    <t>Подраздел 2. Гардероб</t>
  </si>
  <si>
    <t>1.2.1.</t>
  </si>
  <si>
    <t>Гардеробная система</t>
  </si>
  <si>
    <t>1.2.2.</t>
  </si>
  <si>
    <t>Банкетка</t>
  </si>
  <si>
    <t>1.2.3.</t>
  </si>
  <si>
    <t>Зеркало большое</t>
  </si>
  <si>
    <t>Подраздел 3. Библиотека</t>
  </si>
  <si>
    <t>1.3.1.</t>
  </si>
  <si>
    <t>Стол библиотекаря</t>
  </si>
  <si>
    <t>1.3.2.</t>
  </si>
  <si>
    <t>Кресло для библиотекаря</t>
  </si>
  <si>
    <t>1.3.3.</t>
  </si>
  <si>
    <t>Стеллажи библиотечные (одно - двухсторонние, демонстрационные, угловые) для хранения и демонстрации печатных и медиа пособий и художественной литературы</t>
  </si>
  <si>
    <t>1.3.4.</t>
  </si>
  <si>
    <t>Стол для выдачи пособий</t>
  </si>
  <si>
    <t>1.3.5.</t>
  </si>
  <si>
    <t>Шкаф для читательских формуляров</t>
  </si>
  <si>
    <t>1.3.6.</t>
  </si>
  <si>
    <t>Картотека</t>
  </si>
  <si>
    <t>1.3.7.</t>
  </si>
  <si>
    <t>Столы ученические (для читального зала, модульные для коворкинга, компьютерные)</t>
  </si>
  <si>
    <t>1.3.8.</t>
  </si>
  <si>
    <t>Стул ученический регулируемый по высоте</t>
  </si>
  <si>
    <t>1.3.9.</t>
  </si>
  <si>
    <t>Кресло для чтения</t>
  </si>
  <si>
    <t>Технические средства обучения (рабочее место библиотекаря)</t>
  </si>
  <si>
    <t>1.3.10.</t>
  </si>
  <si>
    <t>Интерактивный программно-аппаратный комплекс</t>
  </si>
  <si>
    <t>1.3.11.</t>
  </si>
  <si>
    <t>Компьютер библиотекаря</t>
  </si>
  <si>
    <t>1.3.12.</t>
  </si>
  <si>
    <t>Многофункциональное устройство</t>
  </si>
  <si>
    <t>1.3.13.</t>
  </si>
  <si>
    <t>Документ-камера</t>
  </si>
  <si>
    <t>1.3.14.</t>
  </si>
  <si>
    <t>Акустическая система для аудитории</t>
  </si>
  <si>
    <t>1.3.15.</t>
  </si>
  <si>
    <t>Сетевой фильтр</t>
  </si>
  <si>
    <t>1.3.16.</t>
  </si>
  <si>
    <t>Технические средства обучения (рабочее место ученика)</t>
  </si>
  <si>
    <t>1.3.17.</t>
  </si>
  <si>
    <t>Компьютер учащегося</t>
  </si>
  <si>
    <t>1.3.18.</t>
  </si>
  <si>
    <t>Планшетный компьютер для коворкинга</t>
  </si>
  <si>
    <t>Подраздел 4. Многофункциональный актовый зал</t>
  </si>
  <si>
    <t>Специализированная мебель</t>
  </si>
  <si>
    <t>1.4.1.</t>
  </si>
  <si>
    <t>Стул</t>
  </si>
  <si>
    <t>1.4.2.</t>
  </si>
  <si>
    <t>Трибуна</t>
  </si>
  <si>
    <t>1.4.3.</t>
  </si>
  <si>
    <t>Стол в президиум</t>
  </si>
  <si>
    <t>1.4.4.</t>
  </si>
  <si>
    <t>Стул в президиум</t>
  </si>
  <si>
    <t>1.4.5.</t>
  </si>
  <si>
    <t>Системы хранения светового и акустического оборудования</t>
  </si>
  <si>
    <t>1.4.6.</t>
  </si>
  <si>
    <t>Струнно-клавишный музыкальный инструмент</t>
  </si>
  <si>
    <t>1.4.7.</t>
  </si>
  <si>
    <t>Мультимедийная трибуна для презентаций</t>
  </si>
  <si>
    <t>1.4.8.</t>
  </si>
  <si>
    <t>Управляемая видеокамера</t>
  </si>
  <si>
    <t>Оборудование сцены</t>
  </si>
  <si>
    <t>1.4.9.</t>
  </si>
  <si>
    <t>Экран большого размера</t>
  </si>
  <si>
    <t>1.4.10.</t>
  </si>
  <si>
    <t>Проектор для актового зала с потолочным креплением</t>
  </si>
  <si>
    <t>1.4.11.</t>
  </si>
  <si>
    <t>Автоматизированное рабочее место оператора</t>
  </si>
  <si>
    <t>1.4.12.</t>
  </si>
  <si>
    <t>DJ-проигрыватель звуковой системы</t>
  </si>
  <si>
    <t>1.4.13.</t>
  </si>
  <si>
    <t>Радиосистема с головным микрофоном</t>
  </si>
  <si>
    <t>1.4.14.</t>
  </si>
  <si>
    <t>Вокальный радио-микрофон</t>
  </si>
  <si>
    <t>1.4.15.</t>
  </si>
  <si>
    <t>Напольная микрофонная стойка - журавль</t>
  </si>
  <si>
    <t>1.4.16.</t>
  </si>
  <si>
    <t>Цифровой микшер</t>
  </si>
  <si>
    <t>1.4.17.</t>
  </si>
  <si>
    <t>Сабвуфер</t>
  </si>
  <si>
    <t>1.4.18.</t>
  </si>
  <si>
    <t>Активная трехполосная акустическая система</t>
  </si>
  <si>
    <t>1.4.19.</t>
  </si>
  <si>
    <t>1.4.20.</t>
  </si>
  <si>
    <t>Комплект проводов для проекта</t>
  </si>
  <si>
    <t>1.4.21.</t>
  </si>
  <si>
    <t>Шкаф рэковый</t>
  </si>
  <si>
    <t>Подраздел 5. Столовая и пищеблок*(1)</t>
  </si>
  <si>
    <t>Специализированная мебель и оборудование для столовой</t>
  </si>
  <si>
    <t>1.5.1.</t>
  </si>
  <si>
    <t>Стол</t>
  </si>
  <si>
    <t>1.5.2.</t>
  </si>
  <si>
    <t>Стул складной с мягким сиденьем</t>
  </si>
  <si>
    <t>1.5.3.</t>
  </si>
  <si>
    <t>Линия раздачи</t>
  </si>
  <si>
    <t>1.5.4.</t>
  </si>
  <si>
    <t>Терминалы оплаты за питание</t>
  </si>
  <si>
    <t>1.5.5.</t>
  </si>
  <si>
    <t>Индивидуальный набор посуды</t>
  </si>
  <si>
    <t>1.5.6.</t>
  </si>
  <si>
    <t>Поднос</t>
  </si>
  <si>
    <t>Подраздел 6. Спортивный комплекс</t>
  </si>
  <si>
    <t>Часть 1. Оборудование универсального спортивного зала 18x30 м, 24x42 м</t>
  </si>
  <si>
    <t>1.6.1.</t>
  </si>
  <si>
    <t>Табло электронное игровое (для волейбола, баскетбола, футбола, гандбола) с защитным экраном</t>
  </si>
  <si>
    <t>1.6.2.</t>
  </si>
  <si>
    <t>Комплект скамеек и систем хранения вещей обучающихся</t>
  </si>
  <si>
    <t>1.6.3.</t>
  </si>
  <si>
    <t>Стеллажи для инвентаря</t>
  </si>
  <si>
    <t>Спортивные игры</t>
  </si>
  <si>
    <t>1.6.4.</t>
  </si>
  <si>
    <t>Стойки волейбольные универсальные на растяжках (для волейбола, бадминтона, тенниса) с механизмом натяжения, протектором и волейбольной сеткой.</t>
  </si>
  <si>
    <t>1.6.5.</t>
  </si>
  <si>
    <t>Ворота для гандбола, минифутбола складные (Комплект из 2-х ворот с протекторами и сетками)</t>
  </si>
  <si>
    <t>1.6.6.</t>
  </si>
  <si>
    <t>Мяч баскетбольный N 7 тренировочный</t>
  </si>
  <si>
    <t>1.6.7.</t>
  </si>
  <si>
    <t>Мяч баскетбольный N 7 для соревнований</t>
  </si>
  <si>
    <t>1.6.8.</t>
  </si>
  <si>
    <t>Мяч баскетбольный N 5</t>
  </si>
  <si>
    <t>1.6.9.</t>
  </si>
  <si>
    <t>Мяч футбольный N 5 тренировочный</t>
  </si>
  <si>
    <t>1.6.10.</t>
  </si>
  <si>
    <t>Мяч футбольный N 5 для соревнований</t>
  </si>
  <si>
    <t>1.6.11.</t>
  </si>
  <si>
    <t>Мяч волейбольный тренировочный</t>
  </si>
  <si>
    <t>1.6.12.</t>
  </si>
  <si>
    <t>Мяч волейбольный для соревнований</t>
  </si>
  <si>
    <t>1.6.13.</t>
  </si>
  <si>
    <t>Мяч футбольный N 4</t>
  </si>
  <si>
    <t>1.6.14.</t>
  </si>
  <si>
    <t>Насос для накачивания мячей</t>
  </si>
  <si>
    <t>1.6.15.</t>
  </si>
  <si>
    <t>Жилетка игровая</t>
  </si>
  <si>
    <t>1.6.16.</t>
  </si>
  <si>
    <t>Тележка для хранения мячей</t>
  </si>
  <si>
    <t>1.6.17.</t>
  </si>
  <si>
    <t>Сетка для хранения мячей</t>
  </si>
  <si>
    <t>1.6.18.</t>
  </si>
  <si>
    <t>Конус с втулкой, палкой и флажком</t>
  </si>
  <si>
    <t>Гимнастика, фитнес, общефизическая подготовка</t>
  </si>
  <si>
    <t>1.6.19.</t>
  </si>
  <si>
    <t>Скамейка гимнастическая жесткая</t>
  </si>
  <si>
    <t>1.6.20.</t>
  </si>
  <si>
    <t>Мат гимнастический прямой</t>
  </si>
  <si>
    <t>1.6.21.</t>
  </si>
  <si>
    <t>Мостик гимнастический подпружиненный</t>
  </si>
  <si>
    <t>1.6.22.</t>
  </si>
  <si>
    <t>Бревно гимнастическое напольное 3 м</t>
  </si>
  <si>
    <t>1.6.23.</t>
  </si>
  <si>
    <t>Перекладина гимнастическая пристенная</t>
  </si>
  <si>
    <t>1.6.24.</t>
  </si>
  <si>
    <t>Консоль пристенная для канатов и шестов (3 крюка)</t>
  </si>
  <si>
    <t>1.6.25.</t>
  </si>
  <si>
    <t>Канат для лазания</t>
  </si>
  <si>
    <t>1.6.26.</t>
  </si>
  <si>
    <t>Шест для лазания</t>
  </si>
  <si>
    <t>1.6.27.</t>
  </si>
  <si>
    <t>Перекладина навесная универсальная</t>
  </si>
  <si>
    <t>1.6.28.</t>
  </si>
  <si>
    <t>Брусья навесные</t>
  </si>
  <si>
    <t>1.6.29.</t>
  </si>
  <si>
    <t>Доска наклонная навесная</t>
  </si>
  <si>
    <t>1.6.30.</t>
  </si>
  <si>
    <t>Тренажер навесной для пресса</t>
  </si>
  <si>
    <t>1.6.31.</t>
  </si>
  <si>
    <t>Тренажер навесной для спины</t>
  </si>
  <si>
    <t>1.6.32.</t>
  </si>
  <si>
    <t>Комплект для групповых занятий (с подвижным стеллажом)</t>
  </si>
  <si>
    <t>Легкая атлетика</t>
  </si>
  <si>
    <t>1.6.33.</t>
  </si>
  <si>
    <t>Стойки для прыжков в высоту</t>
  </si>
  <si>
    <t>1.6.34.</t>
  </si>
  <si>
    <t>Планка для прыжков</t>
  </si>
  <si>
    <t>1.6.35.</t>
  </si>
  <si>
    <t>Мяч для метания</t>
  </si>
  <si>
    <t>1.6.36.</t>
  </si>
  <si>
    <t>Щит для метания в цель навесной</t>
  </si>
  <si>
    <t>1.6.37.</t>
  </si>
  <si>
    <t>Барьер легкоатлетический регулируемый, юношеский</t>
  </si>
  <si>
    <t>Подвижные игры и спортмероприятия</t>
  </si>
  <si>
    <t>1.6.38.</t>
  </si>
  <si>
    <t>Набор для подвижных игр (в сумке)</t>
  </si>
  <si>
    <t>1.6.39.</t>
  </si>
  <si>
    <t>Комплект для проведения спортмероприятий (в бауле)</t>
  </si>
  <si>
    <t>1.6.40.</t>
  </si>
  <si>
    <t>Комплект судейский (в сумке)</t>
  </si>
  <si>
    <t>1.6.41.</t>
  </si>
  <si>
    <t>Музыкальный центр</t>
  </si>
  <si>
    <t>Часть 2. Кабинет учителя физкультуры</t>
  </si>
  <si>
    <t>1.6.42.</t>
  </si>
  <si>
    <t>Персональный компьютер (ноутбук) с установленным ПО</t>
  </si>
  <si>
    <t>1.6.43.</t>
  </si>
  <si>
    <t>Стол компьютерный</t>
  </si>
  <si>
    <t>1.6.44.</t>
  </si>
  <si>
    <t>Многофункциональное устройство с цветной печатью</t>
  </si>
  <si>
    <t>1.6.45.</t>
  </si>
  <si>
    <t>Комплект видео программ по физической культуре</t>
  </si>
  <si>
    <t>1.6.46.</t>
  </si>
  <si>
    <t>Информационный щит</t>
  </si>
  <si>
    <t>Часть 3. Снарядная (дополнительное вариативное оборудование и инвентарь)</t>
  </si>
  <si>
    <t>1.6.47.</t>
  </si>
  <si>
    <t>Стеллажи для лыж</t>
  </si>
  <si>
    <t>1.6.48.</t>
  </si>
  <si>
    <t>Лыжный комплект</t>
  </si>
  <si>
    <t>1.6.49.</t>
  </si>
  <si>
    <t>Клюшки хоккейные</t>
  </si>
  <si>
    <t>1.6.50.</t>
  </si>
  <si>
    <t>Стол для настольного тенниса передвижной для помещений</t>
  </si>
  <si>
    <t>1.6.51.</t>
  </si>
  <si>
    <t>Комплект для настольного тенниса</t>
  </si>
  <si>
    <t>1.6.52.</t>
  </si>
  <si>
    <t>Стойки для бадминтона</t>
  </si>
  <si>
    <t>1.6.53.</t>
  </si>
  <si>
    <t>Набор для бадминтона (в чехле)</t>
  </si>
  <si>
    <t>1.6.54.</t>
  </si>
  <si>
    <t>Конь гимнастический малый</t>
  </si>
  <si>
    <t>1.6.55.</t>
  </si>
  <si>
    <t>Тележка для перевозки матов</t>
  </si>
  <si>
    <t>1.6.56.</t>
  </si>
  <si>
    <t>Мат гимнастический складной</t>
  </si>
  <si>
    <t>1.6.57.</t>
  </si>
  <si>
    <t>Комплект поливалентных матов и модулей</t>
  </si>
  <si>
    <t>1.6.58.</t>
  </si>
  <si>
    <t>Определитель высоты прыжка</t>
  </si>
  <si>
    <t>1.6.59.</t>
  </si>
  <si>
    <t>Обруч гимнастический</t>
  </si>
  <si>
    <t>1.6.60.</t>
  </si>
  <si>
    <t>Медболы</t>
  </si>
  <si>
    <t>1.6.61.</t>
  </si>
  <si>
    <t>Степ платформы</t>
  </si>
  <si>
    <t>1.6.62.</t>
  </si>
  <si>
    <t>Снаряд для функционального тренинга</t>
  </si>
  <si>
    <t>1.6.63.</t>
  </si>
  <si>
    <t>Снаряд для подтягивания/отжимания</t>
  </si>
  <si>
    <t>1.6.64.</t>
  </si>
  <si>
    <t>Тумба прыжковая атлетическая</t>
  </si>
  <si>
    <t>1.6.65.</t>
  </si>
  <si>
    <t>Канат для перетягивания</t>
  </si>
  <si>
    <t>1.6.66.</t>
  </si>
  <si>
    <t>Граната для метания</t>
  </si>
  <si>
    <t>1.6.67.</t>
  </si>
  <si>
    <t>Пьедестал разборный</t>
  </si>
  <si>
    <t>1.6.68.</t>
  </si>
  <si>
    <t>Аптечка медицинская настенная</t>
  </si>
  <si>
    <t>1.6.69.</t>
  </si>
  <si>
    <t>1.6.70.</t>
  </si>
  <si>
    <t>Шкаф-локер для инвентаря</t>
  </si>
  <si>
    <t>1.6.71.</t>
  </si>
  <si>
    <t>Коврик дезинфекционный</t>
  </si>
  <si>
    <t>Часть 4. Малый спортивный зал 12x24 м</t>
  </si>
  <si>
    <t>1.6.72.</t>
  </si>
  <si>
    <t>Стойки волейбольные универсальные пристенные (для волейбола, бадминтона, тенниса) с механизмом натяжения, протектором и волейбольной сеткой</t>
  </si>
  <si>
    <t>1.6.73.</t>
  </si>
  <si>
    <t>1.6.74.</t>
  </si>
  <si>
    <t>Лента для художественной гимнастики</t>
  </si>
  <si>
    <t>Дополнительное вариативное оборудование</t>
  </si>
  <si>
    <t>1.6.75.</t>
  </si>
  <si>
    <t>Зеркало травмобезопасное</t>
  </si>
  <si>
    <t>1.6.76.</t>
  </si>
  <si>
    <t>Тренажер беговая дорожка (электрическая)</t>
  </si>
  <si>
    <t>1.6.77.</t>
  </si>
  <si>
    <t>Тренажер эллипсоид магнитный</t>
  </si>
  <si>
    <t>1.6.78.</t>
  </si>
  <si>
    <t>Велотренажер магнитный</t>
  </si>
  <si>
    <t>1.6.79.</t>
  </si>
  <si>
    <t>Тренажер на жим лежа</t>
  </si>
  <si>
    <t>1.6.80.</t>
  </si>
  <si>
    <t>Тренажер на жим стоя</t>
  </si>
  <si>
    <t>1.6.81.</t>
  </si>
  <si>
    <t>Тренажер для бицепсов</t>
  </si>
  <si>
    <t>1.6.82.</t>
  </si>
  <si>
    <t>Тренажер для пресса</t>
  </si>
  <si>
    <t>1.6.83.</t>
  </si>
  <si>
    <t>Тренажер для пресса ногами</t>
  </si>
  <si>
    <t>1.6.84.</t>
  </si>
  <si>
    <t>Скамья атлетическая универсальная</t>
  </si>
  <si>
    <t>1.6.85.</t>
  </si>
  <si>
    <t>Скамья атлетическая горизонтальная</t>
  </si>
  <si>
    <t>1.6.86.</t>
  </si>
  <si>
    <t>Тренажер для мышц спины</t>
  </si>
  <si>
    <t>1.6.87.</t>
  </si>
  <si>
    <t>Стеллаж для гантелей</t>
  </si>
  <si>
    <t>1.6.88.</t>
  </si>
  <si>
    <t>Комплект гантелей обрезиненных</t>
  </si>
  <si>
    <t>1.6.89.</t>
  </si>
  <si>
    <t>Штанга обрезиненная разборная</t>
  </si>
  <si>
    <t>1.6.90.</t>
  </si>
  <si>
    <t>Мяч для фитнеса</t>
  </si>
  <si>
    <t>1.6.91.</t>
  </si>
  <si>
    <t>Палка гимнастическая утяжеленная (боди бар)</t>
  </si>
  <si>
    <t>1.6.92.</t>
  </si>
  <si>
    <t>Упоры для отжиманий</t>
  </si>
  <si>
    <t>1.6.93.</t>
  </si>
  <si>
    <t>1.6.94.</t>
  </si>
  <si>
    <t>Комплект для фитнеса и хореографии</t>
  </si>
  <si>
    <t>1.6.95.</t>
  </si>
  <si>
    <t>1.6.96.</t>
  </si>
  <si>
    <t>Станок хореографический двухрядный</t>
  </si>
  <si>
    <t>1.6.97.</t>
  </si>
  <si>
    <t>Кронштейн для фитболов</t>
  </si>
  <si>
    <t>1.6.98.</t>
  </si>
  <si>
    <t>Комплект баннеров для оформления зала</t>
  </si>
  <si>
    <t>1.6.99.</t>
  </si>
  <si>
    <t>Телевизор с DVD на кронштейне</t>
  </si>
  <si>
    <t>1.6.100.</t>
  </si>
  <si>
    <t>1.6.101.</t>
  </si>
  <si>
    <t>1.6.102.</t>
  </si>
  <si>
    <t>Комплект для силовой гимнастики (с подвижным стеллажом)</t>
  </si>
  <si>
    <t>1.6.103.</t>
  </si>
  <si>
    <t>Степ-платформа</t>
  </si>
  <si>
    <t>1.6.104.</t>
  </si>
  <si>
    <t>1.6.105.</t>
  </si>
  <si>
    <t>Банкетки</t>
  </si>
  <si>
    <t>1.6.106.</t>
  </si>
  <si>
    <t>1.6.107.</t>
  </si>
  <si>
    <t>Коврик дезинфекционный (с дезинфикционным раствором)</t>
  </si>
  <si>
    <t>Комплект для занятий гимнастикой, акробатикой, единоборствами</t>
  </si>
  <si>
    <t>1.6.108.</t>
  </si>
  <si>
    <t>Ковер гимнастический</t>
  </si>
  <si>
    <t>1.6.109.</t>
  </si>
  <si>
    <t>Мат для приземлений и отработки бросков</t>
  </si>
  <si>
    <t>1.6.110.</t>
  </si>
  <si>
    <t>Зеркало передвижное травмобезопасное</t>
  </si>
  <si>
    <t>1.6.111.</t>
  </si>
  <si>
    <t>Модуль-трапеция большой</t>
  </si>
  <si>
    <t>1.6.112.</t>
  </si>
  <si>
    <t>Ковёр борцовский</t>
  </si>
  <si>
    <t>1.6.113.</t>
  </si>
  <si>
    <t>Манекены для занятий единоборствами (120-140-150-165 см, 15-22-26-40 кг)</t>
  </si>
  <si>
    <t>1.6.114.</t>
  </si>
  <si>
    <t>Жгут тренировочный полимерный эластичный</t>
  </si>
  <si>
    <t>1.6.115.</t>
  </si>
  <si>
    <t>Стенка гимнастическая</t>
  </si>
  <si>
    <t>1.6.116.</t>
  </si>
  <si>
    <t>1.6.117.</t>
  </si>
  <si>
    <t>1.6.118.</t>
  </si>
  <si>
    <t>Дополнительное вариативное оборудование по видам спорта</t>
  </si>
  <si>
    <t>Бадминтон</t>
  </si>
  <si>
    <t>1.6.119.</t>
  </si>
  <si>
    <t>Волан</t>
  </si>
  <si>
    <t>1.6.120.</t>
  </si>
  <si>
    <t>Ракетка для бадминтона</t>
  </si>
  <si>
    <t>1.6.121.</t>
  </si>
  <si>
    <t>Сетка для бадминтона</t>
  </si>
  <si>
    <t>1.6.122.</t>
  </si>
  <si>
    <t>Стойки для крепления бадминтонной сетки (стационарные, передвижные, пристенные)</t>
  </si>
  <si>
    <t>1.6.123.</t>
  </si>
  <si>
    <t>Струны для бадминтона</t>
  </si>
  <si>
    <t>Баскетбол</t>
  </si>
  <si>
    <t>1.6.124.</t>
  </si>
  <si>
    <t>Кольцо баскетбольное</t>
  </si>
  <si>
    <t>1.6.125.</t>
  </si>
  <si>
    <t>Сетка баскетбольная</t>
  </si>
  <si>
    <t>1.6.126.</t>
  </si>
  <si>
    <t>Стойки баскетбольная игровая передвижная (детская), мобильная, стационарная</t>
  </si>
  <si>
    <t>1.6.127.</t>
  </si>
  <si>
    <t>Ферма для щита баскетбольного</t>
  </si>
  <si>
    <t>1.6.128.</t>
  </si>
  <si>
    <t>Щит баскетбольный</t>
  </si>
  <si>
    <t>1.6.129.</t>
  </si>
  <si>
    <t>Мячи баскетбольные (размер 3, 5, 6, 7)</t>
  </si>
  <si>
    <t>Велоспорт</t>
  </si>
  <si>
    <t>1.6.130.</t>
  </si>
  <si>
    <t>ВМХ-велосипед</t>
  </si>
  <si>
    <t>1.6.131.</t>
  </si>
  <si>
    <t>Горный велосипед</t>
  </si>
  <si>
    <t>1.6.132.</t>
  </si>
  <si>
    <t>Запасные части для ремонта велосипедов</t>
  </si>
  <si>
    <t>1.6.133.</t>
  </si>
  <si>
    <t>Комплект защиты</t>
  </si>
  <si>
    <t>1.6.134.</t>
  </si>
  <si>
    <t>Стойка и комплект инструментов для ремонта велосипеда</t>
  </si>
  <si>
    <t>1.6.135.</t>
  </si>
  <si>
    <t>Стойки для велосипедов</t>
  </si>
  <si>
    <t>Волейбол</t>
  </si>
  <si>
    <t>1.6.136.</t>
  </si>
  <si>
    <t>Антенны с карманом для сетки</t>
  </si>
  <si>
    <t>1.6.137.</t>
  </si>
  <si>
    <t>Вышка судейская универсальная</t>
  </si>
  <si>
    <t>1.6.138.</t>
  </si>
  <si>
    <t>Мяч волейбольный</t>
  </si>
  <si>
    <t>1.6.140.</t>
  </si>
  <si>
    <t>Протектор для волейбольных стоек</t>
  </si>
  <si>
    <t>1.6.141.</t>
  </si>
  <si>
    <t>Сетка волейбольная</t>
  </si>
  <si>
    <t>1.6.142.</t>
  </si>
  <si>
    <t>Стойка волейбольная универсальная</t>
  </si>
  <si>
    <t>1.6.143.</t>
  </si>
  <si>
    <t>Тренажёр для волейбола</t>
  </si>
  <si>
    <t>Гандбол</t>
  </si>
  <si>
    <t>1.6.144.</t>
  </si>
  <si>
    <t>Ворота для мини-гандбола или гандбола</t>
  </si>
  <si>
    <t>1.6.145.</t>
  </si>
  <si>
    <t>1.6.146.</t>
  </si>
  <si>
    <t>Сетка гашения</t>
  </si>
  <si>
    <t>1.6.147.</t>
  </si>
  <si>
    <t>Сетка для ворот</t>
  </si>
  <si>
    <t>1.6.148.</t>
  </si>
  <si>
    <t>Стойка для обводки</t>
  </si>
  <si>
    <t>1.6.149.</t>
  </si>
  <si>
    <t>Мяч гандбольный (размеры - 1, 2, 3)</t>
  </si>
  <si>
    <t>Городошный спорт</t>
  </si>
  <si>
    <t>1.6.150.</t>
  </si>
  <si>
    <t>Бита</t>
  </si>
  <si>
    <t>1.6.151.</t>
  </si>
  <si>
    <t>Городки</t>
  </si>
  <si>
    <t>1.6.152.</t>
  </si>
  <si>
    <t>Листы с разметкой города</t>
  </si>
  <si>
    <t>1.6.153.</t>
  </si>
  <si>
    <t>Отбойная стенка</t>
  </si>
  <si>
    <t>1.6.154.</t>
  </si>
  <si>
    <t>Сетка для ограждения</t>
  </si>
  <si>
    <t>1.6.155.</t>
  </si>
  <si>
    <t>Фиксированные планки на лицевых линиях конов и полуконов</t>
  </si>
  <si>
    <t>Греко-римская и вольная борьба</t>
  </si>
  <si>
    <t>1.6.156.</t>
  </si>
  <si>
    <t>Борцовский тренировочный манекен</t>
  </si>
  <si>
    <t>1.6.157.</t>
  </si>
  <si>
    <t>Комплект борцовского ковра (покрытие, маты)</t>
  </si>
  <si>
    <t>Дартс</t>
  </si>
  <si>
    <t>1.6.158</t>
  </si>
  <si>
    <t>Дротик</t>
  </si>
  <si>
    <t>1.6.159.</t>
  </si>
  <si>
    <t>Мишень</t>
  </si>
  <si>
    <t>Дзюдо</t>
  </si>
  <si>
    <t>1.6.160.</t>
  </si>
  <si>
    <t>Татами (маты для дзюдо)</t>
  </si>
  <si>
    <t>1.6.161.</t>
  </si>
  <si>
    <t>Тренировочные борцовские манекены</t>
  </si>
  <si>
    <t>Лёгкая атлетика</t>
  </si>
  <si>
    <t>1.6.162.</t>
  </si>
  <si>
    <t>Барьер легкоатлетический.</t>
  </si>
  <si>
    <t>1.6.163.</t>
  </si>
  <si>
    <t>Брусок для отталкивания</t>
  </si>
  <si>
    <t>1.6.164.</t>
  </si>
  <si>
    <t>Граната спортивная для метания</t>
  </si>
  <si>
    <t>1.6.165.</t>
  </si>
  <si>
    <t>Диск легкоатлетический</t>
  </si>
  <si>
    <t>1.6.166.</t>
  </si>
  <si>
    <t>Дорожка для разбега</t>
  </si>
  <si>
    <t>1.6.167.</t>
  </si>
  <si>
    <t>Зона приземления для прыжков</t>
  </si>
  <si>
    <t>1.6.168.</t>
  </si>
  <si>
    <t>Линейка для прыжков в длину</t>
  </si>
  <si>
    <t>1.6.169.</t>
  </si>
  <si>
    <t>Метательный снаряд</t>
  </si>
  <si>
    <t>1.6.170.</t>
  </si>
  <si>
    <t>Мяч малый для метания</t>
  </si>
  <si>
    <t>1.6.171.</t>
  </si>
  <si>
    <t>Планка для прыжков в высоту</t>
  </si>
  <si>
    <t>1.6.172.</t>
  </si>
  <si>
    <t>Стартовая колодка легкоатлетическая</t>
  </si>
  <si>
    <t>1.6.173.</t>
  </si>
  <si>
    <t>Стойка для прыжков в высоту</t>
  </si>
  <si>
    <t>1.6.174.</t>
  </si>
  <si>
    <t>Экран защитный</t>
  </si>
  <si>
    <t>1.6.175.</t>
  </si>
  <si>
    <t>Эстафетная палочка</t>
  </si>
  <si>
    <t>Лыжные гонки</t>
  </si>
  <si>
    <t>1.6.176.</t>
  </si>
  <si>
    <t>Ботинки для лыж</t>
  </si>
  <si>
    <t>1.6.177.</t>
  </si>
  <si>
    <t>Инвентарь для мелкого ремонта лыж</t>
  </si>
  <si>
    <t>1.6.178.</t>
  </si>
  <si>
    <t>Инвентарь для обработки лыж</t>
  </si>
  <si>
    <t>1.6.179.</t>
  </si>
  <si>
    <t>Крепления для лыж</t>
  </si>
  <si>
    <t>1.6.180.</t>
  </si>
  <si>
    <t>Лыжи</t>
  </si>
  <si>
    <t>1.6.181.</t>
  </si>
  <si>
    <t>Лыжные палки</t>
  </si>
  <si>
    <t>1.6.182.</t>
  </si>
  <si>
    <t>Смазки для лыж</t>
  </si>
  <si>
    <t>1.6.183.</t>
  </si>
  <si>
    <t>Станок для обработки и подготовки лыж</t>
  </si>
  <si>
    <t>Настольный теннис</t>
  </si>
  <si>
    <t>1.6.184.</t>
  </si>
  <si>
    <t>Мяч для настольного тенниса</t>
  </si>
  <si>
    <t>1.6.185.</t>
  </si>
  <si>
    <t>Ракетка для настольного тенниса</t>
  </si>
  <si>
    <t>1.6.186.</t>
  </si>
  <si>
    <t>Сетка</t>
  </si>
  <si>
    <t>1.6.187.</t>
  </si>
  <si>
    <t>Стол теннисный любительский</t>
  </si>
  <si>
    <t>1.6.188.</t>
  </si>
  <si>
    <t>Стол теннисный профессиональный</t>
  </si>
  <si>
    <t>1.6.189.</t>
  </si>
  <si>
    <t>Тренировочный робот</t>
  </si>
  <si>
    <t>Плавание</t>
  </si>
  <si>
    <t>1.6.190.</t>
  </si>
  <si>
    <t>Аквапалка</t>
  </si>
  <si>
    <t>1.6.191.</t>
  </si>
  <si>
    <t>Акватренер двойной, с поясом</t>
  </si>
  <si>
    <t>1.6.192.</t>
  </si>
  <si>
    <t>Дорожки ортопедическая, резиновая</t>
  </si>
  <si>
    <t>1.6.193.</t>
  </si>
  <si>
    <t>Доска</t>
  </si>
  <si>
    <t>1.6.194.</t>
  </si>
  <si>
    <t>Жилет плавательный спасательный (страховочный)</t>
  </si>
  <si>
    <t>1.6.195.</t>
  </si>
  <si>
    <t>Игрушки плавающие</t>
  </si>
  <si>
    <t>1.6.196.</t>
  </si>
  <si>
    <t>Катушка для хранения разделительных дорожек</t>
  </si>
  <si>
    <t>1.6.197.</t>
  </si>
  <si>
    <t>Коврик резиновый</t>
  </si>
  <si>
    <t>1.6.198.</t>
  </si>
  <si>
    <t>Комплект для подводного плавания</t>
  </si>
  <si>
    <t>1.6.199.</t>
  </si>
  <si>
    <t>Контактные элементы</t>
  </si>
  <si>
    <t>1.6.200.</t>
  </si>
  <si>
    <t>Контейнер для хранения инвентаря</t>
  </si>
  <si>
    <t>1.6.201.</t>
  </si>
  <si>
    <t>Крепление для спасательного круга</t>
  </si>
  <si>
    <t>1.6.202.</t>
  </si>
  <si>
    <t>Круг спасательный (детский облегченный)</t>
  </si>
  <si>
    <t>1.6.203.</t>
  </si>
  <si>
    <t>Лопатки для рук разных размеров</t>
  </si>
  <si>
    <t>1.6.204.</t>
  </si>
  <si>
    <t>Мяч резиновый</t>
  </si>
  <si>
    <t>1.6.205.</t>
  </si>
  <si>
    <t>Надувные круги и нарукавники для плавания</t>
  </si>
  <si>
    <t>1.6.206.</t>
  </si>
  <si>
    <t>Обручи плавающие (горизонтальные)</t>
  </si>
  <si>
    <t>1.6.207.</t>
  </si>
  <si>
    <t>Обручи с грузами (вертикальные)</t>
  </si>
  <si>
    <t>1.6.208.</t>
  </si>
  <si>
    <t>Поплавок цветной (флажок)</t>
  </si>
  <si>
    <t>1.6.209.</t>
  </si>
  <si>
    <t>Пояс с петлей для обучения плаванию</t>
  </si>
  <si>
    <t>1.6.210.</t>
  </si>
  <si>
    <t>Разделительная волногасящая дорожка</t>
  </si>
  <si>
    <t>1.6.211.</t>
  </si>
  <si>
    <t>Разделительная дорожка</t>
  </si>
  <si>
    <t>1.6.212.</t>
  </si>
  <si>
    <t>Разделительный блок</t>
  </si>
  <si>
    <t>1.6.213.</t>
  </si>
  <si>
    <t>Спасательный линь</t>
  </si>
  <si>
    <t>1.6.214.</t>
  </si>
  <si>
    <t>Термометр для воды</t>
  </si>
  <si>
    <t>1.6.215.</t>
  </si>
  <si>
    <t>Термометр комнатный</t>
  </si>
  <si>
    <t>1.6.216.</t>
  </si>
  <si>
    <t>Часы-секундомер (настенные)</t>
  </si>
  <si>
    <t>1.6.217.</t>
  </si>
  <si>
    <t>Шест пластмассовый</t>
  </si>
  <si>
    <t>1.6.218.</t>
  </si>
  <si>
    <t>Шест спасательный с петлей</t>
  </si>
  <si>
    <t>Пулевая стрельба</t>
  </si>
  <si>
    <t>1.6.219.</t>
  </si>
  <si>
    <t>Доска информационная</t>
  </si>
  <si>
    <t>1.6.220.</t>
  </si>
  <si>
    <t>Инвентарь для стрельбы</t>
  </si>
  <si>
    <t>1.6.221.</t>
  </si>
  <si>
    <t>Металлический шкаф</t>
  </si>
  <si>
    <t>1.6.222.</t>
  </si>
  <si>
    <t>Очки защитные</t>
  </si>
  <si>
    <t>1.6.223.</t>
  </si>
  <si>
    <t>Пневматическая винтовка</t>
  </si>
  <si>
    <t>1.6.224.</t>
  </si>
  <si>
    <t>Пневматический пистолет</t>
  </si>
  <si>
    <t>1.6.225.</t>
  </si>
  <si>
    <t>Пулеулавливатель с мишенью</t>
  </si>
  <si>
    <t>Регби</t>
  </si>
  <si>
    <t>1.6.226.</t>
  </si>
  <si>
    <t>Ворота</t>
  </si>
  <si>
    <t>1.6.227.</t>
  </si>
  <si>
    <t>Мешок для захватов</t>
  </si>
  <si>
    <t>1.6.228.</t>
  </si>
  <si>
    <t>Мяч регбийный</t>
  </si>
  <si>
    <t>1.6.229.</t>
  </si>
  <si>
    <t>Обтяжка боковых стоек ворот</t>
  </si>
  <si>
    <t>1.6.230.</t>
  </si>
  <si>
    <t>Подушка регбийная тренировочная</t>
  </si>
  <si>
    <t>1.6.231.</t>
  </si>
  <si>
    <t>1.6.232.</t>
  </si>
  <si>
    <t>Стойка для обвода</t>
  </si>
  <si>
    <t>Самбо</t>
  </si>
  <si>
    <t>1.6.233.</t>
  </si>
  <si>
    <t>Ковер для самбо</t>
  </si>
  <si>
    <t>Скалолазание</t>
  </si>
  <si>
    <t>1.6.234.</t>
  </si>
  <si>
    <t>Каска</t>
  </si>
  <si>
    <t>1.6.235.</t>
  </si>
  <si>
    <t>Релаксационная стенка</t>
  </si>
  <si>
    <t>1.6.236.</t>
  </si>
  <si>
    <t>Оборудование для скалодрома с зацепками</t>
  </si>
  <si>
    <t>1.6.237.</t>
  </si>
  <si>
    <t>Специальное снаряжение</t>
  </si>
  <si>
    <t>1.6.238.</t>
  </si>
  <si>
    <t>Страховочное снаряжение</t>
  </si>
  <si>
    <t>1.6.239.</t>
  </si>
  <si>
    <t>Траверсы</t>
  </si>
  <si>
    <t>Скейтбординг</t>
  </si>
  <si>
    <t>1.6.240.</t>
  </si>
  <si>
    <t>Скейтборд</t>
  </si>
  <si>
    <t>Софтбол</t>
  </si>
  <si>
    <t>1.6.241.</t>
  </si>
  <si>
    <t>1.6.242.</t>
  </si>
  <si>
    <t>Защитные элементы</t>
  </si>
  <si>
    <t>1.6.243.</t>
  </si>
  <si>
    <t>Ловушка (перчатка)</t>
  </si>
  <si>
    <t>1.6.244.</t>
  </si>
  <si>
    <t>Мяч</t>
  </si>
  <si>
    <t>Спортивная гимнастика</t>
  </si>
  <si>
    <t>1.6.245.</t>
  </si>
  <si>
    <t>Бревно гимнастическое напольное постоянной высоты</t>
  </si>
  <si>
    <t>1.6.246.</t>
  </si>
  <si>
    <t>Бревно гимнастическое тренировочное</t>
  </si>
  <si>
    <t>1.6.247.</t>
  </si>
  <si>
    <t>Брусья гимнастические параллельные</t>
  </si>
  <si>
    <t>1.6.248.</t>
  </si>
  <si>
    <t>Брусья гимнастические разновысокие</t>
  </si>
  <si>
    <t>1.6.249.</t>
  </si>
  <si>
    <t>Козел гимнастический</t>
  </si>
  <si>
    <t>1.6.250.</t>
  </si>
  <si>
    <t>Кольца гимнастические</t>
  </si>
  <si>
    <t>1.6.251.</t>
  </si>
  <si>
    <t>Конь гимнастический</t>
  </si>
  <si>
    <t>1.6.252.</t>
  </si>
  <si>
    <t>Мост гимнастический подкидной</t>
  </si>
  <si>
    <t>1.6.253.</t>
  </si>
  <si>
    <t>Перекладина гимнастическая</t>
  </si>
  <si>
    <t>1.6.254.</t>
  </si>
  <si>
    <t>Скамейка гимнастическая универсальная (бревно напольное)</t>
  </si>
  <si>
    <t>Спортивное ориентирование и спортивный туризм</t>
  </si>
  <si>
    <t>1.6.255.</t>
  </si>
  <si>
    <t>Верёвка туристическая</t>
  </si>
  <si>
    <t>1.6.256.</t>
  </si>
  <si>
    <t>Емкость для воды</t>
  </si>
  <si>
    <t>1.6.257.</t>
  </si>
  <si>
    <t>Коврик бивачный</t>
  </si>
  <si>
    <t>1.6.258.</t>
  </si>
  <si>
    <t>Компас спортивный</t>
  </si>
  <si>
    <t>1.6.259.</t>
  </si>
  <si>
    <t>Комплект туристический бивуачный</t>
  </si>
  <si>
    <t>1.6.260.</t>
  </si>
  <si>
    <t>Контрольный пункт с системой отметки</t>
  </si>
  <si>
    <t>1.6.261.</t>
  </si>
  <si>
    <t>Костровой набор</t>
  </si>
  <si>
    <t>1.6.262.</t>
  </si>
  <si>
    <t>Набор канатов</t>
  </si>
  <si>
    <t>1.6.263.</t>
  </si>
  <si>
    <t>Набор шанцевого инструмента</t>
  </si>
  <si>
    <t>1.6.264.</t>
  </si>
  <si>
    <t>Разметочная полимерная лента</t>
  </si>
  <si>
    <t>1.6.265.</t>
  </si>
  <si>
    <t>Рюкзак туристический</t>
  </si>
  <si>
    <t>1.6.266.</t>
  </si>
  <si>
    <t>Стол переносной раскладной с комплектом стульев</t>
  </si>
  <si>
    <t>1.6.267.</t>
  </si>
  <si>
    <t>Тент</t>
  </si>
  <si>
    <t>1.6.268.</t>
  </si>
  <si>
    <t>Фонарь кемпинговый</t>
  </si>
  <si>
    <t>Теннис</t>
  </si>
  <si>
    <t>1.6.269.</t>
  </si>
  <si>
    <t>Корзина для сбора и подачи мячей</t>
  </si>
  <si>
    <t>1.6.270.</t>
  </si>
  <si>
    <t>Линии для разметки грунтового корта</t>
  </si>
  <si>
    <t>1.6.271.</t>
  </si>
  <si>
    <t>Мяч для тенниса</t>
  </si>
  <si>
    <t>1.6.272.</t>
  </si>
  <si>
    <t>Оборудование для ухода за теннисным кортом</t>
  </si>
  <si>
    <t>1.6.273.</t>
  </si>
  <si>
    <t>Переносной барьер-сетка для мини-тенниса</t>
  </si>
  <si>
    <t>1.6.274.</t>
  </si>
  <si>
    <t>Разделительная сетка</t>
  </si>
  <si>
    <t>1.6.275.</t>
  </si>
  <si>
    <t>Ракетка теннисная</t>
  </si>
  <si>
    <t>1.6.276.</t>
  </si>
  <si>
    <t>Рулон разметочных линий для укороченных кортов</t>
  </si>
  <si>
    <t>1.6.277.</t>
  </si>
  <si>
    <t>Сетка для тенниса</t>
  </si>
  <si>
    <t>1.6.278.</t>
  </si>
  <si>
    <t>Стойка универсальная</t>
  </si>
  <si>
    <t>1.6.279.</t>
  </si>
  <si>
    <t>Тренировочная мишень</t>
  </si>
  <si>
    <t>Фитнес-аэробика</t>
  </si>
  <si>
    <t>1.6.280.</t>
  </si>
  <si>
    <t>Боди-бар</t>
  </si>
  <si>
    <t>1.6.281.</t>
  </si>
  <si>
    <t>Гантели</t>
  </si>
  <si>
    <t>1.6.282.</t>
  </si>
  <si>
    <t>Диск для баланса</t>
  </si>
  <si>
    <t>1.6.283.</t>
  </si>
  <si>
    <t>Клипса палка-обруч</t>
  </si>
  <si>
    <t>1.6.284.</t>
  </si>
  <si>
    <t>Клипса палка-палка</t>
  </si>
  <si>
    <t>1.6.285.</t>
  </si>
  <si>
    <t>Лестница для функционального тренинга длинная</t>
  </si>
  <si>
    <t>1.6.286.</t>
  </si>
  <si>
    <t>1.6.287.</t>
  </si>
  <si>
    <t>Мяч гимнастический глянцевый</t>
  </si>
  <si>
    <t>1.6.288.</t>
  </si>
  <si>
    <t>Мяч гимнастический овальный</t>
  </si>
  <si>
    <t>1.6.289.</t>
  </si>
  <si>
    <t>Обруч детский плоский</t>
  </si>
  <si>
    <t>1.6.290.</t>
  </si>
  <si>
    <t>Подушка балансировочная</t>
  </si>
  <si>
    <t>1.6.291.</t>
  </si>
  <si>
    <t>Полусфера степ</t>
  </si>
  <si>
    <t>1.6.292.</t>
  </si>
  <si>
    <t>Резиновые амортизаторы для выполнения силовых упражнений с цветовой кодировкой</t>
  </si>
  <si>
    <t>1.6.293.</t>
  </si>
  <si>
    <t>Степ платформа</t>
  </si>
  <si>
    <t>1.6.294.</t>
  </si>
  <si>
    <t>Стойка для боди-баров</t>
  </si>
  <si>
    <t>1.6.295.</t>
  </si>
  <si>
    <t>Стойка для резиновых амортизаторов</t>
  </si>
  <si>
    <t>1.6.296.</t>
  </si>
  <si>
    <t>Стойка для хранения полусфер степ</t>
  </si>
  <si>
    <t>1.6.297.</t>
  </si>
  <si>
    <t>Стойка для хранения дисков</t>
  </si>
  <si>
    <t>1.6.298.</t>
  </si>
  <si>
    <t>Стойка для хранения мячей для фитнеса</t>
  </si>
  <si>
    <t>1.6.299.</t>
  </si>
  <si>
    <t>Утяжелители ленточные</t>
  </si>
  <si>
    <t>Флорбол</t>
  </si>
  <si>
    <t>1.6.300.</t>
  </si>
  <si>
    <t>Клюшка для флорбола</t>
  </si>
  <si>
    <t>1.6.301.</t>
  </si>
  <si>
    <t>Комплект защитной формы для вратаря</t>
  </si>
  <si>
    <t>1.6.302.</t>
  </si>
  <si>
    <t>Комплект защитных бортов</t>
  </si>
  <si>
    <t>1.6.303.</t>
  </si>
  <si>
    <t>1.6.304.</t>
  </si>
  <si>
    <t>Футбол</t>
  </si>
  <si>
    <t>1.6.305.</t>
  </si>
  <si>
    <t>Мяч футбольный (размер 2, 3, 4, 5)</t>
  </si>
  <si>
    <t>Хоккей и фигурное катание на коньках</t>
  </si>
  <si>
    <t>1.6.306.</t>
  </si>
  <si>
    <t>Клюшка для игры в хоккей</t>
  </si>
  <si>
    <t>1.6.307.</t>
  </si>
  <si>
    <t>Коньки для фигурного катания</t>
  </si>
  <si>
    <t>1.6.308.</t>
  </si>
  <si>
    <t>Коньки хоккейные обычные</t>
  </si>
  <si>
    <t>1.6.309.</t>
  </si>
  <si>
    <t>Оборудование для сушки коньков</t>
  </si>
  <si>
    <t>1.6.310.</t>
  </si>
  <si>
    <t>Станок для заточки коньков</t>
  </si>
  <si>
    <t>1.6.311.</t>
  </si>
  <si>
    <t>Стойка для клюшек</t>
  </si>
  <si>
    <t>1.6.312.</t>
  </si>
  <si>
    <t>Шайба для игры в хоккей</t>
  </si>
  <si>
    <t>Художественная гимнастика</t>
  </si>
  <si>
    <t>1.6.313.</t>
  </si>
  <si>
    <t>Булава гимнастическая</t>
  </si>
  <si>
    <t>1.6.314.</t>
  </si>
  <si>
    <t>Зеркала передвижные</t>
  </si>
  <si>
    <t>1.6.315.</t>
  </si>
  <si>
    <t>1.6.316.</t>
  </si>
  <si>
    <t>Лента гимнастическая</t>
  </si>
  <si>
    <t>1.6.317.</t>
  </si>
  <si>
    <t>Мат акробатический</t>
  </si>
  <si>
    <t>1.6.318.</t>
  </si>
  <si>
    <t>Мат гимнастический</t>
  </si>
  <si>
    <t>1.6.319.</t>
  </si>
  <si>
    <t>Мяч гимнастический юниорский</t>
  </si>
  <si>
    <t>1.6.320.</t>
  </si>
  <si>
    <t>Шахматы и шашки</t>
  </si>
  <si>
    <t>1.6.321.</t>
  </si>
  <si>
    <t>Набор для игры в шахматы</t>
  </si>
  <si>
    <t>1.6.322.</t>
  </si>
  <si>
    <t>Набор для игры в шашки</t>
  </si>
  <si>
    <t>1.6.323.</t>
  </si>
  <si>
    <t>Шахматные часы</t>
  </si>
  <si>
    <t>Подраздел 7. Коридоры и рекреации</t>
  </si>
  <si>
    <t>1.7.1.</t>
  </si>
  <si>
    <t>1.7.2.</t>
  </si>
  <si>
    <t>1.7.3.</t>
  </si>
  <si>
    <t>Стеллаж демонстрационный</t>
  </si>
  <si>
    <t>1.7.4.</t>
  </si>
  <si>
    <t>1.7.5.</t>
  </si>
  <si>
    <t>Подраздел 8. Административные кабинеты</t>
  </si>
  <si>
    <t>Часть 1. Кабинет директора</t>
  </si>
  <si>
    <t>1.8.1.</t>
  </si>
  <si>
    <t>1.8.2.</t>
  </si>
  <si>
    <t>Стол приставной</t>
  </si>
  <si>
    <t>1.8.3.</t>
  </si>
  <si>
    <t>Конференц-стол</t>
  </si>
  <si>
    <t>1.8.4.</t>
  </si>
  <si>
    <t>Кресло директора</t>
  </si>
  <si>
    <t>1.8.5.</t>
  </si>
  <si>
    <t>1.8.6.</t>
  </si>
  <si>
    <t>Шкаф закрытый с витринами</t>
  </si>
  <si>
    <t>1.8.7.</t>
  </si>
  <si>
    <t>Шкаф для одежды</t>
  </si>
  <si>
    <t>1.8.8.</t>
  </si>
  <si>
    <t>Сейф</t>
  </si>
  <si>
    <t>Автоматизированное рабочее место</t>
  </si>
  <si>
    <t>1.8.9.</t>
  </si>
  <si>
    <t>Компьютер, лицензионное программное обеспечение</t>
  </si>
  <si>
    <t>1.8.10.</t>
  </si>
  <si>
    <t>1.8.11.</t>
  </si>
  <si>
    <t>1.8.12.</t>
  </si>
  <si>
    <t>Доска маркерная</t>
  </si>
  <si>
    <t>Часть 2. Кабинет административного работника</t>
  </si>
  <si>
    <t>Специализированная мебель и система хранения</t>
  </si>
  <si>
    <t>1.8.13.</t>
  </si>
  <si>
    <t>1.8.14.</t>
  </si>
  <si>
    <t>Кресло для административного работника</t>
  </si>
  <si>
    <t>1.8.15.</t>
  </si>
  <si>
    <t>1.8.16.</t>
  </si>
  <si>
    <t>Шкаф открытый, закрытый с витринами</t>
  </si>
  <si>
    <t>1.8.17.</t>
  </si>
  <si>
    <t>1.8.18.</t>
  </si>
  <si>
    <t>1.8.19.</t>
  </si>
  <si>
    <t>Подраздел 9. Учительская</t>
  </si>
  <si>
    <t>1.9.1.</t>
  </si>
  <si>
    <t>1.9.2.</t>
  </si>
  <si>
    <t>1.9.3.</t>
  </si>
  <si>
    <t>Кресло учителя</t>
  </si>
  <si>
    <t>1.9.4.</t>
  </si>
  <si>
    <t>Диван</t>
  </si>
  <si>
    <t>1.9.5.</t>
  </si>
  <si>
    <t>1.9.6.</t>
  </si>
  <si>
    <t>Магнитно-маркерная доска</t>
  </si>
  <si>
    <t>1.9.7.</t>
  </si>
  <si>
    <t>1.9.8.</t>
  </si>
  <si>
    <t>Журнальный стол</t>
  </si>
  <si>
    <t>1.9.9.</t>
  </si>
  <si>
    <t>Конференц-стул</t>
  </si>
  <si>
    <t>Автоматизированное рабочее место учителя</t>
  </si>
  <si>
    <t>1.9.10.</t>
  </si>
  <si>
    <t>1.9.11.</t>
  </si>
  <si>
    <t>1.9.12.</t>
  </si>
  <si>
    <t>1.9.13.</t>
  </si>
  <si>
    <t>Телефонный аппарат</t>
  </si>
  <si>
    <t>1.9.14.</t>
  </si>
  <si>
    <t>1.9.15.</t>
  </si>
  <si>
    <t>1.9.16.</t>
  </si>
  <si>
    <t>Мини-АТС</t>
  </si>
  <si>
    <t>Подраздел 10. Комплекс оснащения кабинета психолога</t>
  </si>
  <si>
    <t>1.10.1.</t>
  </si>
  <si>
    <t>Стол письменный для специалиста</t>
  </si>
  <si>
    <t>1.10.2.</t>
  </si>
  <si>
    <t>1.10.3.</t>
  </si>
  <si>
    <t>Кресло для специалиста</t>
  </si>
  <si>
    <t>1.10.4.</t>
  </si>
  <si>
    <t>Стенд</t>
  </si>
  <si>
    <t>1.10.5.</t>
  </si>
  <si>
    <t>Ящик для картотеки</t>
  </si>
  <si>
    <t>1.10.6.</t>
  </si>
  <si>
    <t>1.10.7.</t>
  </si>
  <si>
    <t>Шкафы с открытыми и закрытыми витринами</t>
  </si>
  <si>
    <t>1.10.8.</t>
  </si>
  <si>
    <t>Стол детский</t>
  </si>
  <si>
    <t>1.10.9.</t>
  </si>
  <si>
    <t>Стул детский</t>
  </si>
  <si>
    <t>1.10.10.</t>
  </si>
  <si>
    <t>Кресло детское</t>
  </si>
  <si>
    <t>1.10.11.</t>
  </si>
  <si>
    <t>1.10.12.</t>
  </si>
  <si>
    <t>Компьютер специалиста, лицензионное программное обеспечение</t>
  </si>
  <si>
    <t>1.10.13.</t>
  </si>
  <si>
    <t>Планшетный компьютер специалиста</t>
  </si>
  <si>
    <t>1.10.14.</t>
  </si>
  <si>
    <t>1.10.15.</t>
  </si>
  <si>
    <t>1.10.16.</t>
  </si>
  <si>
    <t>1.10.17.</t>
  </si>
  <si>
    <t>1.10.18.</t>
  </si>
  <si>
    <t>1.10.19.</t>
  </si>
  <si>
    <t>Система видеозаписи</t>
  </si>
  <si>
    <t>1.10.20.</t>
  </si>
  <si>
    <t>Система аудиозаписи</t>
  </si>
  <si>
    <t>Оборудование и материалы</t>
  </si>
  <si>
    <t>1.10.21.</t>
  </si>
  <si>
    <t>Комплект аудио-, видео записей</t>
  </si>
  <si>
    <t>1.10.22.</t>
  </si>
  <si>
    <t>Набор игрушек и настольных игр</t>
  </si>
  <si>
    <t>1.10.23.</t>
  </si>
  <si>
    <t>Набор материалов для детского творчества</t>
  </si>
  <si>
    <t>1.10.24.</t>
  </si>
  <si>
    <t>Комплект диагностических материалов и материалов для развития психомоторики, сенсорики</t>
  </si>
  <si>
    <t>Подраздел 11. Медицинский комплекс*(2)</t>
  </si>
  <si>
    <t>Подраздел 12. Серверная</t>
  </si>
  <si>
    <t>1.12.1.</t>
  </si>
  <si>
    <t>Серверная стойка</t>
  </si>
  <si>
    <t>1.12.2.</t>
  </si>
  <si>
    <t>Источник бесперебойного питания</t>
  </si>
  <si>
    <t>1.12.3.</t>
  </si>
  <si>
    <t>Блок распределения питания</t>
  </si>
  <si>
    <t>1.12.4.</t>
  </si>
  <si>
    <t>Устройство мониторинга через внешние датчики</t>
  </si>
  <si>
    <t>1.12.5.</t>
  </si>
  <si>
    <t>Устройство аварийной сигнализации</t>
  </si>
  <si>
    <t>1.12.6.</t>
  </si>
  <si>
    <t>Датчик температуры и влажности</t>
  </si>
  <si>
    <t>1.12.7.</t>
  </si>
  <si>
    <t>Датчик контроля доступа в стойку</t>
  </si>
  <si>
    <t>1.12.8.</t>
  </si>
  <si>
    <t>Датчик контроля доступа в серверную комнату</t>
  </si>
  <si>
    <t>1.12.9.</t>
  </si>
  <si>
    <t>Датчик дыма</t>
  </si>
  <si>
    <t>1.12.10.</t>
  </si>
  <si>
    <t>Датчик протечек</t>
  </si>
  <si>
    <t>1.12.11.</t>
  </si>
  <si>
    <t>Коммутатор</t>
  </si>
  <si>
    <t>1.12.12.</t>
  </si>
  <si>
    <t>1.12.13.</t>
  </si>
  <si>
    <t>Контроллер средств организации беспроводной сети</t>
  </si>
  <si>
    <t>1.12.14.</t>
  </si>
  <si>
    <t>Криптошлюз/межсетевой экран</t>
  </si>
  <si>
    <t>1.12.15.</t>
  </si>
  <si>
    <t>Программно-аппаратный комплекс с предустановленным лицензионным программным обеспечением</t>
  </si>
  <si>
    <t>1.12.16.</t>
  </si>
  <si>
    <t>Сервер</t>
  </si>
  <si>
    <t>Раздел 2. Комплекс оснащения предметных кабинетов</t>
  </si>
  <si>
    <t>Подраздел 1. Кабинет начальной школы</t>
  </si>
  <si>
    <t>2.1.1.</t>
  </si>
  <si>
    <t>Доска классная</t>
  </si>
  <si>
    <t>2.1.2.</t>
  </si>
  <si>
    <t>Стол учителя</t>
  </si>
  <si>
    <t>2.1.3.</t>
  </si>
  <si>
    <t>Стол учителя приставной</t>
  </si>
  <si>
    <t>2.1.4.</t>
  </si>
  <si>
    <t>Кресло для учителя</t>
  </si>
  <si>
    <t>2.1.5.</t>
  </si>
  <si>
    <t>Парта школьная регулируемая или конторка</t>
  </si>
  <si>
    <t>2.1.6.</t>
  </si>
  <si>
    <t>Стул ученический для начальной школы</t>
  </si>
  <si>
    <t>2.1.7.</t>
  </si>
  <si>
    <t>Шкаф для хранения учебных пособий</t>
  </si>
  <si>
    <t>2.1.8.</t>
  </si>
  <si>
    <t>Шкаф для хранения с выдвигающимися демонстрационными полками</t>
  </si>
  <si>
    <t>2.1.9.</t>
  </si>
  <si>
    <t>2.1.10.</t>
  </si>
  <si>
    <t>Информационно-тематический стенд</t>
  </si>
  <si>
    <t>2.1.11.</t>
  </si>
  <si>
    <t>Тумба для таблиц под доску</t>
  </si>
  <si>
    <t>2.1.12.</t>
  </si>
  <si>
    <t>Система демонстрации и хранения таблиц и плакатов</t>
  </si>
  <si>
    <t>Технические средства обучения (рабочее место учителя)</t>
  </si>
  <si>
    <t>2.1.13.</t>
  </si>
  <si>
    <t>2.1.14.</t>
  </si>
  <si>
    <t>Компьютер учителя, лицензионное программное обеспечение</t>
  </si>
  <si>
    <t>2.1.15.</t>
  </si>
  <si>
    <t>Планшетный компьютер учителя</t>
  </si>
  <si>
    <t>2.1.16.</t>
  </si>
  <si>
    <t>2.1.17.</t>
  </si>
  <si>
    <t>2.1.18.</t>
  </si>
  <si>
    <t>2.1.19.</t>
  </si>
  <si>
    <t>Комплекс учебных и наглядных пособий для кабинета начальной школы</t>
  </si>
  <si>
    <t>Электронные средства обучения (CD, DVD, видеофильмы, интерактивные плакаты, лицензионное программное обеспечение)</t>
  </si>
  <si>
    <t>2.1.20.</t>
  </si>
  <si>
    <t>Электронные образовательные комплексы для кабинета начальной школы</t>
  </si>
  <si>
    <t>Предметная область Филология</t>
  </si>
  <si>
    <t>Предметы "Русский язык". "Родной язык"</t>
  </si>
  <si>
    <t>Демонстрационные учебно-наглядные пособия</t>
  </si>
  <si>
    <t>2.1.21.</t>
  </si>
  <si>
    <t>Демонстрационные учебные таблицы по русскому языку и литературному чтению - для начальной школы</t>
  </si>
  <si>
    <t>2.1.22.</t>
  </si>
  <si>
    <t>Демонстрационные пособия по русскому языку и литературному чтению для начальной школы</t>
  </si>
  <si>
    <t>2.1.23.</t>
  </si>
  <si>
    <t>Сюжетные (предметные) картинки по русскому языку и литературному чтению</t>
  </si>
  <si>
    <t>2.1.24.</t>
  </si>
  <si>
    <t>Репродукции картин и художественных фотографий</t>
  </si>
  <si>
    <t>2.1.25.</t>
  </si>
  <si>
    <t>Раздаточные карточки с буквами русского алфавита</t>
  </si>
  <si>
    <t>2.1.26.</t>
  </si>
  <si>
    <t>Справочники и энциклопедии по русскому языку и литературному чтению для начальной школы</t>
  </si>
  <si>
    <t>2.1.27.</t>
  </si>
  <si>
    <t>Словари для учителя начальной школы</t>
  </si>
  <si>
    <t>2.1.28.</t>
  </si>
  <si>
    <t>Словари раздаточные для кабинета начальной школы</t>
  </si>
  <si>
    <t>Игры</t>
  </si>
  <si>
    <t>2.1.29.</t>
  </si>
  <si>
    <t>Игровой набор по развитию речи</t>
  </si>
  <si>
    <t>2.1.30.</t>
  </si>
  <si>
    <t>Настольные лингвистические игры</t>
  </si>
  <si>
    <t>2.1.31.</t>
  </si>
  <si>
    <t>Игровые наборы по учебному предмету, рекомендованные для детей младшего школьного возраста</t>
  </si>
  <si>
    <t>2.1.32.</t>
  </si>
  <si>
    <t>Модель-аппликация демонстрационная по обучению грамоте родного языка</t>
  </si>
  <si>
    <t>2.1.33.</t>
  </si>
  <si>
    <t>Демонстрационные учебные таблицы по родному языку для начальной школы</t>
  </si>
  <si>
    <t>2.1.34.</t>
  </si>
  <si>
    <t>Демонстрационные пособия по родному языку для начальной школы</t>
  </si>
  <si>
    <t>2.1.35.</t>
  </si>
  <si>
    <t>Сюжетные (предметные) картинки по родному языку</t>
  </si>
  <si>
    <t>2.1.36.</t>
  </si>
  <si>
    <t>Раздаточные карточки с буквами родного алфавита</t>
  </si>
  <si>
    <t>2.1.37.</t>
  </si>
  <si>
    <t>Справочники, словари и энциклопедии по родному языку и истории родного края для начальной школы</t>
  </si>
  <si>
    <t>Предметы "Литературное чтение", "Литературное чтение на родном языке"</t>
  </si>
  <si>
    <t>2.1.38.</t>
  </si>
  <si>
    <t>Комплект демонстрационных учебных таблиц по литературному чтению для начальной школы</t>
  </si>
  <si>
    <t>2.1.39.</t>
  </si>
  <si>
    <t>Комплект портретов</t>
  </si>
  <si>
    <t>2.1.40.</t>
  </si>
  <si>
    <t>Репродукции</t>
  </si>
  <si>
    <t>2.1.41.</t>
  </si>
  <si>
    <t>2.1.42.</t>
  </si>
  <si>
    <t>Предмет "Иностранный язык"</t>
  </si>
  <si>
    <t>Модели объемные, плоские (аппликации)</t>
  </si>
  <si>
    <t>2.1.43.</t>
  </si>
  <si>
    <t>Модель-аппликация демонстрационная по иностранному языку</t>
  </si>
  <si>
    <t>2.1.44.</t>
  </si>
  <si>
    <t>Демонстрационные учебные таблицы по иностранному языку для начальной школы</t>
  </si>
  <si>
    <t>2.1.45.</t>
  </si>
  <si>
    <t>Демонстрационные пособия по иностранному языку для начальной школы</t>
  </si>
  <si>
    <t>2.1.46.</t>
  </si>
  <si>
    <t>Раздаточные предметные карточки</t>
  </si>
  <si>
    <t>2.1.47.</t>
  </si>
  <si>
    <t>Словари по иностранному языку</t>
  </si>
  <si>
    <t>2.1.48.</t>
  </si>
  <si>
    <t>Игровые наборы на изучаемом иностранном языке</t>
  </si>
  <si>
    <t>2.1.49.</t>
  </si>
  <si>
    <t>Куклы-персонажи</t>
  </si>
  <si>
    <t>Предметная область "Математика и информатика"</t>
  </si>
  <si>
    <t>Предмет "Математика"</t>
  </si>
  <si>
    <t>Демонстрационное оборудование и приборы</t>
  </si>
  <si>
    <t>2.1.50.</t>
  </si>
  <si>
    <t>Комплект чертежного оборудования и приспособлений</t>
  </si>
  <si>
    <t>Модели</t>
  </si>
  <si>
    <t>2.1.51.</t>
  </si>
  <si>
    <t>Модель-аппликация (касса) цифр демонстрационная</t>
  </si>
  <si>
    <t>2.1.52.</t>
  </si>
  <si>
    <t>Модель-аппликация демонстрационная по множествам</t>
  </si>
  <si>
    <t>2.1.53.</t>
  </si>
  <si>
    <t>Геометрические тела демонстрационные</t>
  </si>
  <si>
    <t>2.1.54.</t>
  </si>
  <si>
    <t>Модели раздаточные по математике для начальной школы</t>
  </si>
  <si>
    <t>2.1.55.</t>
  </si>
  <si>
    <t>Демонстрационные учебные таблицы по математике для начальной школы</t>
  </si>
  <si>
    <t>2.1.56.</t>
  </si>
  <si>
    <t>Демонстрационные пособия по математике для начальной школы</t>
  </si>
  <si>
    <t>2.1.57.</t>
  </si>
  <si>
    <t>Раздаточные карточки с цифрами и математическими знаками</t>
  </si>
  <si>
    <t>2.1.58.</t>
  </si>
  <si>
    <t>Справочники по математике для начальной школы</t>
  </si>
  <si>
    <t>2.1.59.</t>
  </si>
  <si>
    <t>Игровой набор по математике</t>
  </si>
  <si>
    <t>2.1.60.</t>
  </si>
  <si>
    <t>Комплект настольных развивающих игр по математике</t>
  </si>
  <si>
    <t>Предметная область "Основы религиозных культур и светской этики"</t>
  </si>
  <si>
    <t>Предмет "Основы религиозных культур и светской этики "</t>
  </si>
  <si>
    <t>2.1.61.</t>
  </si>
  <si>
    <t>2.1.62.</t>
  </si>
  <si>
    <t>Комплект демонстрационных пособий</t>
  </si>
  <si>
    <t>2.1.63.</t>
  </si>
  <si>
    <t>Комплект раздаточных пособий</t>
  </si>
  <si>
    <t>2.1.64.</t>
  </si>
  <si>
    <t>Справочники и энциклопедии</t>
  </si>
  <si>
    <t>Предметная область "Естествознание и Обществознание" ("Окружающий мир")</t>
  </si>
  <si>
    <t>Предмет "Окружающий мир "</t>
  </si>
  <si>
    <t>2.1.65.</t>
  </si>
  <si>
    <t>Комплект демонстрационного оборудования по окружающему миру для начальной школы</t>
  </si>
  <si>
    <t>2.1.66.</t>
  </si>
  <si>
    <t>Цифровая лаборатория для начальных классов по естествознанию</t>
  </si>
  <si>
    <t>Натуральные объекты</t>
  </si>
  <si>
    <t>2.1.67.</t>
  </si>
  <si>
    <t>Коллекции и гербарии</t>
  </si>
  <si>
    <t>Лабораторно-технологическое оборудование (лабораторное оборудование, приборы, наборы для эксперимента)</t>
  </si>
  <si>
    <t>2.1.68.</t>
  </si>
  <si>
    <t>Оборудование и наборы для экспериментов</t>
  </si>
  <si>
    <t>2.1.69.</t>
  </si>
  <si>
    <t>Модели объемные демонстрационные для начальной школы</t>
  </si>
  <si>
    <t>2.1.70.</t>
  </si>
  <si>
    <t>Модели-аппликации для начальной школы</t>
  </si>
  <si>
    <t>2.1.71.</t>
  </si>
  <si>
    <t>Демонстрационные учебные таблицы по окружающему миру для начальной школы</t>
  </si>
  <si>
    <t>2.1.72.</t>
  </si>
  <si>
    <t>Карты учебные для начальной школы</t>
  </si>
  <si>
    <t>2.1.73.</t>
  </si>
  <si>
    <t>Игровые наборы, рекомендованные для детей младшего школьного возраста по знакомству с окружающим миром</t>
  </si>
  <si>
    <t>Предметная область "Искусство "</t>
  </si>
  <si>
    <t>Предмет</t>
  </si>
  <si>
    <t>"Изобразительное искусство "</t>
  </si>
  <si>
    <t>2.1.74.</t>
  </si>
  <si>
    <t>Комплект оборудования и инструментов для отработки практических умений и навыков по изобразительному искусству для начальной школы</t>
  </si>
  <si>
    <t>2.1.75.</t>
  </si>
  <si>
    <t>Модели по изобразительному искусству</t>
  </si>
  <si>
    <t>2.1.76.</t>
  </si>
  <si>
    <t>Муляжи предметов (вазы, фрукты, овощи, животных)</t>
  </si>
  <si>
    <t>2.1.77.</t>
  </si>
  <si>
    <t>Демонстрационные учебные таблицы для начальной школы</t>
  </si>
  <si>
    <t>Предмет "Музыка"*(3)</t>
  </si>
  <si>
    <t>Предметная область "Технология "</t>
  </si>
  <si>
    <t>Предмет "Технология "</t>
  </si>
  <si>
    <t>Лабораторно-технологическое оборудование (лабораторное оборудование, инструменты для технологии)</t>
  </si>
  <si>
    <t>2.1.78.</t>
  </si>
  <si>
    <t>Комплект раздаточный учебно-лабораторного и практического оборудования по технологии для начальной школы</t>
  </si>
  <si>
    <t>2.1.79.</t>
  </si>
  <si>
    <t>Коллекции по предметной области технология для начальной школы</t>
  </si>
  <si>
    <t>2.1.80.</t>
  </si>
  <si>
    <t>Коллекция промышленных образцов тканей, ниток и фурнитуры</t>
  </si>
  <si>
    <t>2.1.81.</t>
  </si>
  <si>
    <t>Демонстрационные учебные таблицы по технологии для начальной школы</t>
  </si>
  <si>
    <t>2.1.82.</t>
  </si>
  <si>
    <t>Справочники</t>
  </si>
  <si>
    <t>Подраздел 2. Мобильный компьютерный класс для начальной школы</t>
  </si>
  <si>
    <t>Дополнительное вариативное оборудование начальной школы</t>
  </si>
  <si>
    <t>2.2.1.</t>
  </si>
  <si>
    <t>Тележка-хранилище с системой подзарядки и вмонтированным маршрутизатором для организации беспроводной локальной сети в классе</t>
  </si>
  <si>
    <t>2.2.2.</t>
  </si>
  <si>
    <t>Мобильный компьютер учителя</t>
  </si>
  <si>
    <t>2.2.3.</t>
  </si>
  <si>
    <t>Мобильный компьютер ученика</t>
  </si>
  <si>
    <t>2.2.4.</t>
  </si>
  <si>
    <t>Электронные образовательные комплексы для обучающихся</t>
  </si>
  <si>
    <t>2.2.5.</t>
  </si>
  <si>
    <t>Графический планшет</t>
  </si>
  <si>
    <t>Подраздел 3. Кабинет проектно-исследовательской деятельности в начальной школе (на базе компьютерного класса)</t>
  </si>
  <si>
    <t>2.3.1.</t>
  </si>
  <si>
    <t>2.3.2.</t>
  </si>
  <si>
    <t>2.3.3.</t>
  </si>
  <si>
    <t>2.3.4.</t>
  </si>
  <si>
    <t>2.3.5.</t>
  </si>
  <si>
    <t>Стол ученический регулируемый по высоте</t>
  </si>
  <si>
    <t>2.3.6.</t>
  </si>
  <si>
    <t>Стол ученический трапециевидный регулируемый по высоте</t>
  </si>
  <si>
    <t>2.3.7.</t>
  </si>
  <si>
    <t>2.3.8.</t>
  </si>
  <si>
    <t>2.3.9.</t>
  </si>
  <si>
    <t>2.3.10.</t>
  </si>
  <si>
    <t>Боковая демонстрационная панель</t>
  </si>
  <si>
    <t>2.3.11.</t>
  </si>
  <si>
    <t>2.3.12.</t>
  </si>
  <si>
    <t>2.3.13.</t>
  </si>
  <si>
    <t>2.3.14.</t>
  </si>
  <si>
    <t>2.3.15.</t>
  </si>
  <si>
    <t>2.3.16.</t>
  </si>
  <si>
    <t>2.3.17.</t>
  </si>
  <si>
    <t>Цифровая видеокамера</t>
  </si>
  <si>
    <t>2.3.18.</t>
  </si>
  <si>
    <t>2.3.19.</t>
  </si>
  <si>
    <t>2.3.20.</t>
  </si>
  <si>
    <t>Образовательный модуль конструирования и проектирования</t>
  </si>
  <si>
    <t>2.3.21.</t>
  </si>
  <si>
    <t>Комплект для развития речи, навыков создания и проведения презентаций, создания портфолио, ведения пресс деятельности - на родном и иностранных языках.</t>
  </si>
  <si>
    <t>2.3.22.</t>
  </si>
  <si>
    <t>Комплект для практического развития математических компетенций и изучения математики.</t>
  </si>
  <si>
    <t>2.3.23.</t>
  </si>
  <si>
    <t>Набор по основам математики, конструирования, моделирования и проектирования</t>
  </si>
  <si>
    <t>2.3.24.</t>
  </si>
  <si>
    <t>Набор по основам проектирования и моделирования</t>
  </si>
  <si>
    <t>2.3.25.</t>
  </si>
  <si>
    <t>Базовый робототехнический набор</t>
  </si>
  <si>
    <t>2.3.26.</t>
  </si>
  <si>
    <t>Ресурсный набор к базовому робототехническому набору</t>
  </si>
  <si>
    <t>Образовательный модуль для проектно-исследовательской деятельности</t>
  </si>
  <si>
    <t>2.3.27.</t>
  </si>
  <si>
    <t>Микроскоп школьный с подсветкой с набором микропрепаратов</t>
  </si>
  <si>
    <t>2.3.28.</t>
  </si>
  <si>
    <t>Комплект лабораторного оборудования по предмету "Окружающий мир"</t>
  </si>
  <si>
    <t>2.3.29.</t>
  </si>
  <si>
    <t>Комплект для практического изучения естественно-научных тем по предмету "Окружающий мир".</t>
  </si>
  <si>
    <t>Подраздел 4. Кабинет учителя-логопеда</t>
  </si>
  <si>
    <t>Подраздел 5. Активная рекреация для начальной школы</t>
  </si>
  <si>
    <t>2.5.1.</t>
  </si>
  <si>
    <t>Мат сенсорный</t>
  </si>
  <si>
    <t>2.5.2.</t>
  </si>
  <si>
    <t>Рукоход разновысокий</t>
  </si>
  <si>
    <t>2.5.3.</t>
  </si>
  <si>
    <t>Стенка гимнастическая с перекладиной и эспандерами</t>
  </si>
  <si>
    <t>2.5.4.</t>
  </si>
  <si>
    <t>2.5.5.</t>
  </si>
  <si>
    <t>Балансировочная доска</t>
  </si>
  <si>
    <t>2.5.6.</t>
  </si>
  <si>
    <t>Мини гольф</t>
  </si>
  <si>
    <t>2.5.7.</t>
  </si>
  <si>
    <t>Маты гимнастические</t>
  </si>
  <si>
    <t>2.5.8.</t>
  </si>
  <si>
    <t>Коррекционная дорожка</t>
  </si>
  <si>
    <t>2.5.9.</t>
  </si>
  <si>
    <t>Определитель осанки</t>
  </si>
  <si>
    <t>Подраздел 6. Игровая в начальной школе</t>
  </si>
  <si>
    <t>Мебель и системы хранения</t>
  </si>
  <si>
    <t>2.6.1.</t>
  </si>
  <si>
    <t>Стол игровой трапециевидный</t>
  </si>
  <si>
    <t>2.6.2.</t>
  </si>
  <si>
    <t>2.6.3.</t>
  </si>
  <si>
    <t>Стеллажи для хранения игр</t>
  </si>
  <si>
    <t>2.6.4.</t>
  </si>
  <si>
    <t>Система хранения конструкторов</t>
  </si>
  <si>
    <t>2.6.5.</t>
  </si>
  <si>
    <t>Мягконабивные модули</t>
  </si>
  <si>
    <t>2.6.6.</t>
  </si>
  <si>
    <t>Стенд информационный для игровой</t>
  </si>
  <si>
    <t>Технические средства обучения</t>
  </si>
  <si>
    <t>2.6.7.</t>
  </si>
  <si>
    <t>2.6.8.</t>
  </si>
  <si>
    <t>Игры и игрушки</t>
  </si>
  <si>
    <t>2.6.9.</t>
  </si>
  <si>
    <t>Настольно-печатные игры</t>
  </si>
  <si>
    <t>2.6.10.</t>
  </si>
  <si>
    <t>Игры на развитие логических операций и стратегического мышления, головоломки</t>
  </si>
  <si>
    <t>2.6.11.</t>
  </si>
  <si>
    <t>Игры для сюжетно-ролевой игры</t>
  </si>
  <si>
    <t>2.6.12.</t>
  </si>
  <si>
    <t>Игры подвижные</t>
  </si>
  <si>
    <t>2.6.13.</t>
  </si>
  <si>
    <t>Наборы для экспериментирования</t>
  </si>
  <si>
    <t>2.6.14.</t>
  </si>
  <si>
    <t>Наборы по закреплению изучаемых тем по учебным предметам</t>
  </si>
  <si>
    <t>2.6.15.</t>
  </si>
  <si>
    <t>Игрушки-забавы и народные игрушки</t>
  </si>
  <si>
    <t>2.6.16.</t>
  </si>
  <si>
    <t>Конструкторы</t>
  </si>
  <si>
    <t>2.6.17.</t>
  </si>
  <si>
    <t>Куклы в национальных костюмах</t>
  </si>
  <si>
    <t>2.6.18.</t>
  </si>
  <si>
    <t>Пазлы</t>
  </si>
  <si>
    <t>Подраздел 7. Кабинет русского языка и литературы</t>
  </si>
  <si>
    <t>2.7.1.</t>
  </si>
  <si>
    <t>2.7.2.</t>
  </si>
  <si>
    <t>2.7.3.</t>
  </si>
  <si>
    <t>2.7.4.</t>
  </si>
  <si>
    <t>2.7.5.</t>
  </si>
  <si>
    <t>Стол ученический двухместный регулируемый по высоте</t>
  </si>
  <si>
    <t>2.7.6.</t>
  </si>
  <si>
    <t>Стул ученический с регулируемой высотой</t>
  </si>
  <si>
    <t>2.7.7.</t>
  </si>
  <si>
    <t>2.7.8.</t>
  </si>
  <si>
    <t>2.7.9.</t>
  </si>
  <si>
    <t>2.7.10.</t>
  </si>
  <si>
    <t>Система хранения таблиц и плакатов</t>
  </si>
  <si>
    <t>2.7.11.</t>
  </si>
  <si>
    <t>2.7.12.</t>
  </si>
  <si>
    <t>2.7.13.</t>
  </si>
  <si>
    <t>2.7.14.</t>
  </si>
  <si>
    <t>2.7.15.</t>
  </si>
  <si>
    <t>2.7.16.</t>
  </si>
  <si>
    <t>2.7.17.</t>
  </si>
  <si>
    <t>2.7.18.</t>
  </si>
  <si>
    <t>2.7.19.</t>
  </si>
  <si>
    <t>2.7.20.</t>
  </si>
  <si>
    <t>Электронные средства обучения (CD, DVD, видеофильмы, интерактивные плакаты, лицензионное программное обеспечение) для кабинета русского языка и литературы</t>
  </si>
  <si>
    <t>2.7.21.</t>
  </si>
  <si>
    <t>Видеофильмы учебные по литературе</t>
  </si>
  <si>
    <t>2.7.22.</t>
  </si>
  <si>
    <t>Демонстрационные учебные таблицы по русскому языку и литературе</t>
  </si>
  <si>
    <t>2.7.23.</t>
  </si>
  <si>
    <t>Демонстрационные материалы по литературе</t>
  </si>
  <si>
    <t>2.7.24.</t>
  </si>
  <si>
    <t>Портреты писателей, литературоведов и лингвистов</t>
  </si>
  <si>
    <t>2.7.25.</t>
  </si>
  <si>
    <t>Словари языковые фундаментальные</t>
  </si>
  <si>
    <t>2.7.26.</t>
  </si>
  <si>
    <t>Словари, справочники, энциклопедии языковые и литературоведческие для учителей и учеников 9-11 классов</t>
  </si>
  <si>
    <t>2.7.27.</t>
  </si>
  <si>
    <t>Словари школьные раздаточные для 5-11 классов</t>
  </si>
  <si>
    <t>2.7.28.</t>
  </si>
  <si>
    <t>Комплект репродукций картин для уроков развития речи и литературы</t>
  </si>
  <si>
    <t>Подраздел 8. Кабинет иностранного языка</t>
  </si>
  <si>
    <t>2.8.1.</t>
  </si>
  <si>
    <t>2.8.2.</t>
  </si>
  <si>
    <t>2.8.3.</t>
  </si>
  <si>
    <t>2.8.4.</t>
  </si>
  <si>
    <t>2.8.5.</t>
  </si>
  <si>
    <t>2.8.6.</t>
  </si>
  <si>
    <t>Стул ученический поворотный с регулируемой высотой</t>
  </si>
  <si>
    <t>2.8.7.</t>
  </si>
  <si>
    <t>2.8.8.</t>
  </si>
  <si>
    <t>2.8.9.</t>
  </si>
  <si>
    <t>2.8.10.</t>
  </si>
  <si>
    <t>2.8.11.</t>
  </si>
  <si>
    <t>2.8.12.</t>
  </si>
  <si>
    <t>2.8.13.</t>
  </si>
  <si>
    <t>2.8.14.</t>
  </si>
  <si>
    <t>2.8.15.</t>
  </si>
  <si>
    <t>2.8.16.</t>
  </si>
  <si>
    <t>2.8.17.</t>
  </si>
  <si>
    <t>2.8.18.</t>
  </si>
  <si>
    <t>Электронные средства обучения (CD, DVD, видеофильмы, интерактивные плакаты, лицензионное программное обеспечение) для кабинета иностранного языка</t>
  </si>
  <si>
    <t>2.8.19.</t>
  </si>
  <si>
    <t>Видеофильмы учебные по иностранному языку</t>
  </si>
  <si>
    <t>2.8.20.</t>
  </si>
  <si>
    <t>Таблицы демонстрационные</t>
  </si>
  <si>
    <t>2.8.21.</t>
  </si>
  <si>
    <t>Карты</t>
  </si>
  <si>
    <t>2.8.22.</t>
  </si>
  <si>
    <t>Портреты иностранных писателей</t>
  </si>
  <si>
    <t>2.8.23.</t>
  </si>
  <si>
    <t>Таблицы раздаточные</t>
  </si>
  <si>
    <t>2.8.24.</t>
  </si>
  <si>
    <t>Комплект словарей</t>
  </si>
  <si>
    <t>Подраздел 9. Мобильный лингафонный класс</t>
  </si>
  <si>
    <t>2.9.1.</t>
  </si>
  <si>
    <t>2.9.2.</t>
  </si>
  <si>
    <t>Программное обеспечение для организации сетевого взаимодействия и контроля рабочих мест учащихся с возможностью обучения иностранным языкам</t>
  </si>
  <si>
    <t>2.9.3.</t>
  </si>
  <si>
    <t>Наушники с микрофоном</t>
  </si>
  <si>
    <t>2.9.4.</t>
  </si>
  <si>
    <t>2.9.5.</t>
  </si>
  <si>
    <t>Подраздел 10. Кабинет истории и обществознания</t>
  </si>
  <si>
    <t>2.10.1.</t>
  </si>
  <si>
    <t>2.10.2.</t>
  </si>
  <si>
    <t>2.10.3.</t>
  </si>
  <si>
    <t>2.10.4.</t>
  </si>
  <si>
    <t>2.10.5.</t>
  </si>
  <si>
    <t>2.10.6.</t>
  </si>
  <si>
    <t>2.10.7.</t>
  </si>
  <si>
    <t>2.10.8.</t>
  </si>
  <si>
    <t>2.10.9.</t>
  </si>
  <si>
    <t>2.10.10.</t>
  </si>
  <si>
    <t>2.10.11.</t>
  </si>
  <si>
    <t>2.10.12.</t>
  </si>
  <si>
    <t>2.10.13.</t>
  </si>
  <si>
    <t>2.10.14.</t>
  </si>
  <si>
    <t>2.10.15.</t>
  </si>
  <si>
    <t>2.10.16.</t>
  </si>
  <si>
    <t>2.10.17.</t>
  </si>
  <si>
    <t>2.10.18.</t>
  </si>
  <si>
    <t>2.10.19.</t>
  </si>
  <si>
    <t>Портреты исторических деятелей</t>
  </si>
  <si>
    <t>2.10.20.</t>
  </si>
  <si>
    <t>Карты демонстрационные по курсу истории и обществознания</t>
  </si>
  <si>
    <t>2.10.21.</t>
  </si>
  <si>
    <t>Таблицы и картины демонстрационные по курсу истории и обществознания</t>
  </si>
  <si>
    <t>2.10.22.</t>
  </si>
  <si>
    <t>2.10.23.</t>
  </si>
  <si>
    <t>Таблицы раздаточные по курсу истории и обществознания</t>
  </si>
  <si>
    <t>2.10.24.</t>
  </si>
  <si>
    <t>Атлас по истории с комплектом контурных карт</t>
  </si>
  <si>
    <t>2.10.25.</t>
  </si>
  <si>
    <t>Конституция Российской Федерации</t>
  </si>
  <si>
    <t>2.10.26.</t>
  </si>
  <si>
    <t>Кодексы Российской Федерации</t>
  </si>
  <si>
    <t>2.10.27.</t>
  </si>
  <si>
    <t>Электронные средства обучения (CD, DVD, видеофильмы, интерактивные плакаты, лицензионное программное обеспечение) для кабинета истории и обществознания</t>
  </si>
  <si>
    <t>2.10.28.</t>
  </si>
  <si>
    <t>Государственные символы Российской Федерации</t>
  </si>
  <si>
    <t>2.10.29.</t>
  </si>
  <si>
    <t>Комплект учебных видео фильмов по курсу истории и обществознания</t>
  </si>
  <si>
    <t>Подраздел 11. Кабинет географии</t>
  </si>
  <si>
    <t>2.11.1.</t>
  </si>
  <si>
    <t>2.11.2.</t>
  </si>
  <si>
    <t>2.11.3.</t>
  </si>
  <si>
    <t>2.11.4.</t>
  </si>
  <si>
    <t>2.11.5.</t>
  </si>
  <si>
    <t>2.11.6.</t>
  </si>
  <si>
    <t>2.11.7.</t>
  </si>
  <si>
    <t>2.11.8.</t>
  </si>
  <si>
    <t>2.11.9.</t>
  </si>
  <si>
    <t>2.11.10.</t>
  </si>
  <si>
    <t>2.11.11.</t>
  </si>
  <si>
    <t>2.11.12.</t>
  </si>
  <si>
    <t>2.11.13.</t>
  </si>
  <si>
    <t>2.11.14.</t>
  </si>
  <si>
    <t>2.11.15.</t>
  </si>
  <si>
    <t>2.11.16.</t>
  </si>
  <si>
    <t>2.11.17.</t>
  </si>
  <si>
    <t>2.11.18.</t>
  </si>
  <si>
    <t>2.11.19.</t>
  </si>
  <si>
    <t>2.11.20.</t>
  </si>
  <si>
    <t>2.11.21.</t>
  </si>
  <si>
    <t>Комплект инструментов и приборов топографических</t>
  </si>
  <si>
    <t>2.11.22.</t>
  </si>
  <si>
    <t>Школьная метеостанция</t>
  </si>
  <si>
    <t>2.11.23.</t>
  </si>
  <si>
    <t>Барометр-анероид</t>
  </si>
  <si>
    <t>2.11.24.</t>
  </si>
  <si>
    <t>Курвиметр</t>
  </si>
  <si>
    <t>2.11.25.</t>
  </si>
  <si>
    <t>Гигрометр</t>
  </si>
  <si>
    <t>2.11.26.</t>
  </si>
  <si>
    <t>Комплект цифрового оборудования</t>
  </si>
  <si>
    <t>Лабораторное оборудование</t>
  </si>
  <si>
    <t>2.11.27.</t>
  </si>
  <si>
    <t>Компас ученический</t>
  </si>
  <si>
    <t>2.11.28.</t>
  </si>
  <si>
    <t>Рулетка</t>
  </si>
  <si>
    <t>2.11.29.</t>
  </si>
  <si>
    <t>Комплект для проведения исследований окружающей среды</t>
  </si>
  <si>
    <t>2.11.30.</t>
  </si>
  <si>
    <t>Коллекция минералов и горных пород, полезных ископаемых, почв</t>
  </si>
  <si>
    <t>2.11.31.</t>
  </si>
  <si>
    <t>Глобус Земли физический</t>
  </si>
  <si>
    <t>2.11.32.</t>
  </si>
  <si>
    <t>Глобус Земли политический</t>
  </si>
  <si>
    <t>2.11.33.</t>
  </si>
  <si>
    <t>Глобус Земли физический лабораторный</t>
  </si>
  <si>
    <t>2.11.34.</t>
  </si>
  <si>
    <t>Теллурий</t>
  </si>
  <si>
    <t>2.11.35.</t>
  </si>
  <si>
    <t>Модель строения земных складок и эволюции рельефа</t>
  </si>
  <si>
    <t>2.11.36.</t>
  </si>
  <si>
    <t>Модель движения океанических плит</t>
  </si>
  <si>
    <t>2.11.37.</t>
  </si>
  <si>
    <t>Модель вулкана</t>
  </si>
  <si>
    <t>2.11.38.</t>
  </si>
  <si>
    <t>Модель внутреннего строения Земли</t>
  </si>
  <si>
    <t>2.11.39.</t>
  </si>
  <si>
    <t>Модель-аппликация природных зон Земли</t>
  </si>
  <si>
    <t>2.11.40.</t>
  </si>
  <si>
    <t>Портреты для кабинета географии</t>
  </si>
  <si>
    <t>2.11.41.</t>
  </si>
  <si>
    <t>Карты настенные</t>
  </si>
  <si>
    <t>2.11.42.</t>
  </si>
  <si>
    <t>Таблицы учебные демонстрационные</t>
  </si>
  <si>
    <t>2.11.43.</t>
  </si>
  <si>
    <t>2.11.44.</t>
  </si>
  <si>
    <t>Электронные наглядные средства для кабинета географии</t>
  </si>
  <si>
    <t>2.11.45.</t>
  </si>
  <si>
    <t>Комплект учебных видео фильмов по курсу география</t>
  </si>
  <si>
    <t>Подраздел 12. Кабинет изобразительного искусства</t>
  </si>
  <si>
    <t>2.12.1.</t>
  </si>
  <si>
    <t>2.12.2.</t>
  </si>
  <si>
    <t>2.12.3.</t>
  </si>
  <si>
    <t>2.12.4.</t>
  </si>
  <si>
    <t>2.12.5.</t>
  </si>
  <si>
    <t>Стол ученический двухместный регулируемый по высоте и углу наклона столешницы</t>
  </si>
  <si>
    <t>2.12.6.</t>
  </si>
  <si>
    <t>2.12.7.</t>
  </si>
  <si>
    <t>2.12.8.</t>
  </si>
  <si>
    <t>Демонстрационный стенд</t>
  </si>
  <si>
    <t>2.12.10.</t>
  </si>
  <si>
    <t>2.12.11.</t>
  </si>
  <si>
    <t>2.12.12.</t>
  </si>
  <si>
    <t>Технические средства обучения (Рабочее место учителя)</t>
  </si>
  <si>
    <t>2.12.13.</t>
  </si>
  <si>
    <t>2.12.14.</t>
  </si>
  <si>
    <t>2.12.15.</t>
  </si>
  <si>
    <t>2.12.16.</t>
  </si>
  <si>
    <t>2.12.17.</t>
  </si>
  <si>
    <t>2.12.18.</t>
  </si>
  <si>
    <t>2.12.19.</t>
  </si>
  <si>
    <t>2.12.20.</t>
  </si>
  <si>
    <t>2.12.21.</t>
  </si>
  <si>
    <t>Кульман</t>
  </si>
  <si>
    <t>2.12.22.</t>
  </si>
  <si>
    <t>Шаблон архитектурный</t>
  </si>
  <si>
    <t>2.12.23.</t>
  </si>
  <si>
    <t>Готовальня</t>
  </si>
  <si>
    <t>2.12.24.</t>
  </si>
  <si>
    <t>Линейка чертежная</t>
  </si>
  <si>
    <t>2.12.25.</t>
  </si>
  <si>
    <t>Мольберт двухсторонний</t>
  </si>
  <si>
    <t>2.12.26.</t>
  </si>
  <si>
    <t>Комплект гипсовых моделей геометрических тел</t>
  </si>
  <si>
    <t>2.12.27.</t>
  </si>
  <si>
    <t>Комплект гипсовых моделей для натюрморта</t>
  </si>
  <si>
    <t>2.12.28.</t>
  </si>
  <si>
    <t>Комплект гипсовых моделей головы</t>
  </si>
  <si>
    <t>2.12.29.</t>
  </si>
  <si>
    <t>Комплект гипсовых моделей растений</t>
  </si>
  <si>
    <t>2.12.30.</t>
  </si>
  <si>
    <t>Комплект муляжей фруктов и овощей</t>
  </si>
  <si>
    <t>2.12.31.</t>
  </si>
  <si>
    <t>Муляжи съедобных и ядовитых грибов</t>
  </si>
  <si>
    <t>2.12.32.</t>
  </si>
  <si>
    <t>Электронные наглядные средства</t>
  </si>
  <si>
    <t>2.12.33.</t>
  </si>
  <si>
    <t>Комплект учебных видеофильмов</t>
  </si>
  <si>
    <t>2.12.34.</t>
  </si>
  <si>
    <t>Комплект специализированных настенных стендов</t>
  </si>
  <si>
    <t>2.12.35.</t>
  </si>
  <si>
    <t>Комплект демонстрационных учебных таблиц по черчению, изобразительному искусству и Мировой художественной культуре</t>
  </si>
  <si>
    <t>Подраздел 13. Кабинет музыки</t>
  </si>
  <si>
    <t>2.13.1.</t>
  </si>
  <si>
    <t>2.13.2.</t>
  </si>
  <si>
    <t>2.13.3.</t>
  </si>
  <si>
    <t>2.13.4.</t>
  </si>
  <si>
    <t>2.13.5.</t>
  </si>
  <si>
    <t>2.13.6.</t>
  </si>
  <si>
    <t>2.13.7.</t>
  </si>
  <si>
    <t>2.13.8.</t>
  </si>
  <si>
    <t>2.13.9.</t>
  </si>
  <si>
    <t>2.13.10.</t>
  </si>
  <si>
    <t>2.13.11.</t>
  </si>
  <si>
    <t>2.13.12.</t>
  </si>
  <si>
    <t>2.13.13.</t>
  </si>
  <si>
    <t>2.13.14.</t>
  </si>
  <si>
    <t>2.13.15.</t>
  </si>
  <si>
    <t>2.13.16.</t>
  </si>
  <si>
    <t>2.13.17.</t>
  </si>
  <si>
    <t>2.13.18.</t>
  </si>
  <si>
    <t>2.13.19.</t>
  </si>
  <si>
    <t>Демонстрационное оборудование, приборы, инструменты (музыкальные инструменты)</t>
  </si>
  <si>
    <t>2.13.20.</t>
  </si>
  <si>
    <t>2.13.21.</t>
  </si>
  <si>
    <t>Набор шумовых инструментов</t>
  </si>
  <si>
    <t>2.13.22.</t>
  </si>
  <si>
    <t>Пианино акустическое</t>
  </si>
  <si>
    <t>2.13.23.</t>
  </si>
  <si>
    <t>Комплект баянов ученических</t>
  </si>
  <si>
    <t>2.13.24.</t>
  </si>
  <si>
    <t>Детский барабан</t>
  </si>
  <si>
    <t>2.13.25.</t>
  </si>
  <si>
    <t>Тамбурин</t>
  </si>
  <si>
    <t>2.13.26.</t>
  </si>
  <si>
    <t>Ксилофон</t>
  </si>
  <si>
    <t>2.13.27.</t>
  </si>
  <si>
    <t>Ударная установка</t>
  </si>
  <si>
    <t>2.13.28.</t>
  </si>
  <si>
    <t>Треугольник</t>
  </si>
  <si>
    <t>2.13.29.</t>
  </si>
  <si>
    <t>Набор колокольчиков</t>
  </si>
  <si>
    <t>2.13.30.</t>
  </si>
  <si>
    <t>Скрипка 4/4</t>
  </si>
  <si>
    <t>2.13.31.</t>
  </si>
  <si>
    <t>Скрипка 3/4</t>
  </si>
  <si>
    <t>2.13.32.</t>
  </si>
  <si>
    <t>Флейта</t>
  </si>
  <si>
    <t>2.13.33.</t>
  </si>
  <si>
    <t>Труба</t>
  </si>
  <si>
    <t>2.13.34.</t>
  </si>
  <si>
    <t>Кларнет</t>
  </si>
  <si>
    <t>2.13.35.</t>
  </si>
  <si>
    <t>Балалайка</t>
  </si>
  <si>
    <t>2.13.36.</t>
  </si>
  <si>
    <t>Гусли</t>
  </si>
  <si>
    <t>2.13.37.</t>
  </si>
  <si>
    <t>Домра</t>
  </si>
  <si>
    <t>2.13.38.</t>
  </si>
  <si>
    <t>Электронные средства обучения для кабинета музыки</t>
  </si>
  <si>
    <t>2.13.39.</t>
  </si>
  <si>
    <t>2.13.40.</t>
  </si>
  <si>
    <t>Портреты отечественных и зарубежных композиторов</t>
  </si>
  <si>
    <t>2.13.41.</t>
  </si>
  <si>
    <t>Комплект демонстрационных учебных таблиц по музыке для начальной школы</t>
  </si>
  <si>
    <t>2.13.42.</t>
  </si>
  <si>
    <t>Комплект демонстрационных учебных таблиц</t>
  </si>
  <si>
    <t>Подраздел 14. Кабинет физики</t>
  </si>
  <si>
    <t>2.14.1.</t>
  </si>
  <si>
    <t>Система электроснабжения потолочная</t>
  </si>
  <si>
    <t>2.14.2.</t>
  </si>
  <si>
    <t>2.14.3.</t>
  </si>
  <si>
    <t>Стол демонстрационный</t>
  </si>
  <si>
    <t>2.14.4.</t>
  </si>
  <si>
    <t>2.14.5.</t>
  </si>
  <si>
    <t>2.14.6.</t>
  </si>
  <si>
    <t>2.14.7.</t>
  </si>
  <si>
    <t>2.14.8.</t>
  </si>
  <si>
    <t>2.14.9.</t>
  </si>
  <si>
    <t>2.14.10.</t>
  </si>
  <si>
    <t>2.14.11.</t>
  </si>
  <si>
    <t>Система хранения и демонстрации таблиц и плакатов</t>
  </si>
  <si>
    <t>2.14.12.</t>
  </si>
  <si>
    <t>2.14.13.</t>
  </si>
  <si>
    <t>Огнетушитель</t>
  </si>
  <si>
    <t>2.14.14.</t>
  </si>
  <si>
    <t>2.14.15.</t>
  </si>
  <si>
    <t>2.14.16.</t>
  </si>
  <si>
    <t>2.14.17.</t>
  </si>
  <si>
    <t>2.14.18.</t>
  </si>
  <si>
    <t>2.14.19.</t>
  </si>
  <si>
    <t>2.14.20.</t>
  </si>
  <si>
    <t>2.14.21.</t>
  </si>
  <si>
    <t>2.14.22.</t>
  </si>
  <si>
    <t>2.14.23.</t>
  </si>
  <si>
    <t>Мобильный лабораторный комплекс для учебной практической и проектной деятельности по физике</t>
  </si>
  <si>
    <t>2.14.24.</t>
  </si>
  <si>
    <t>Цифровая лаборатория для учителя</t>
  </si>
  <si>
    <t>2.14.25.</t>
  </si>
  <si>
    <t>2.14.26.</t>
  </si>
  <si>
    <t>Блок питания регулируемый</t>
  </si>
  <si>
    <t>2.14.27.</t>
  </si>
  <si>
    <t>Веб-камера на подвижном штативе</t>
  </si>
  <si>
    <t>2.14.28.</t>
  </si>
  <si>
    <t>Весы технические с разновесами</t>
  </si>
  <si>
    <t>2.14.29.</t>
  </si>
  <si>
    <t>Видеокамера для работы с оптическими приборами</t>
  </si>
  <si>
    <t>2.14.30.</t>
  </si>
  <si>
    <t>Генератор звуковой</t>
  </si>
  <si>
    <t>2.14.31.</t>
  </si>
  <si>
    <t>Гигрометр (психрометр)</t>
  </si>
  <si>
    <t>2.14.32.</t>
  </si>
  <si>
    <t>Груз наборный</t>
  </si>
  <si>
    <t>2.14.33.</t>
  </si>
  <si>
    <t>Динамометр демонстрационный</t>
  </si>
  <si>
    <t>2.14.34.</t>
  </si>
  <si>
    <t>Комплект посуды демонстрационной с принадлежностями</t>
  </si>
  <si>
    <t>2.14.35.</t>
  </si>
  <si>
    <t>Манометр жидкостной демонстрационный</t>
  </si>
  <si>
    <t>2.14.36.</t>
  </si>
  <si>
    <t>Метр демонстрационный</t>
  </si>
  <si>
    <t>2.14.37.</t>
  </si>
  <si>
    <t>Микроскоп демонстрационный</t>
  </si>
  <si>
    <t>2.14.38.</t>
  </si>
  <si>
    <t>Насос вакуумный Комовского</t>
  </si>
  <si>
    <t>2.14.39.</t>
  </si>
  <si>
    <t>Столик подъемный</t>
  </si>
  <si>
    <t>2.14.40.</t>
  </si>
  <si>
    <t>Штатив демонстрационный физический</t>
  </si>
  <si>
    <t>2.14.41.</t>
  </si>
  <si>
    <t>Электроплитка</t>
  </si>
  <si>
    <t>Приборы демонстрационные. Механика</t>
  </si>
  <si>
    <t>2.14.42.</t>
  </si>
  <si>
    <t>Набор демонстрационный по механическим явлениям</t>
  </si>
  <si>
    <t>2.14.43.</t>
  </si>
  <si>
    <t>Набор демонстрационный по динамике вращательного движения</t>
  </si>
  <si>
    <t>2.14.44.</t>
  </si>
  <si>
    <t>Набор демонстрационный по механическим колебаниям</t>
  </si>
  <si>
    <t>2.14.45.</t>
  </si>
  <si>
    <t>Набор демонстрационный волновых явлений</t>
  </si>
  <si>
    <t>2.14.46.</t>
  </si>
  <si>
    <t>Ведерко Архимеда</t>
  </si>
  <si>
    <t>2.14.47.</t>
  </si>
  <si>
    <t>Маятник Максвелла</t>
  </si>
  <si>
    <t>2.14.48.</t>
  </si>
  <si>
    <t>Набор тел равного объема</t>
  </si>
  <si>
    <t>2.14.49.</t>
  </si>
  <si>
    <t>Набор тел равной массы</t>
  </si>
  <si>
    <t>2.14.50.</t>
  </si>
  <si>
    <t>Прибор для демонстрации атмосферного давления</t>
  </si>
  <si>
    <t>2.14.51.</t>
  </si>
  <si>
    <t>Призма наклоняющаяся с отвесом</t>
  </si>
  <si>
    <t>2.14.52.</t>
  </si>
  <si>
    <t>Рычаг демонстрационный</t>
  </si>
  <si>
    <t>2.14.53.</t>
  </si>
  <si>
    <t>Сосуды сообщающиеся</t>
  </si>
  <si>
    <t>2.14.54.</t>
  </si>
  <si>
    <t>Стакан отливной демонстрационный</t>
  </si>
  <si>
    <t>2.14.55.</t>
  </si>
  <si>
    <t>Трубка Ньютона</t>
  </si>
  <si>
    <t>2.14.56.</t>
  </si>
  <si>
    <t>Шар Паскаля</t>
  </si>
  <si>
    <t>Приборы демонстрационные. Молекулярная физика</t>
  </si>
  <si>
    <t>2.14.57.</t>
  </si>
  <si>
    <t>Набор демонстрационный по молекулярной физике и тепловым явлениям</t>
  </si>
  <si>
    <t>2.14.58.</t>
  </si>
  <si>
    <t>Набор демонстрационный по газовым законам</t>
  </si>
  <si>
    <t>2.14.59.</t>
  </si>
  <si>
    <t>Набор капилляров</t>
  </si>
  <si>
    <t>2.14.60.</t>
  </si>
  <si>
    <t>Трубка для демонстрации конвекции в жидкости</t>
  </si>
  <si>
    <t>2.14.61.</t>
  </si>
  <si>
    <t>Цилиндры свинцовые со стругом</t>
  </si>
  <si>
    <t>2.14.62.</t>
  </si>
  <si>
    <t>Шар с кольцом</t>
  </si>
  <si>
    <t>Приборы демонстрационные. Электродинамика и звуковые волны</t>
  </si>
  <si>
    <t>2.14.63.</t>
  </si>
  <si>
    <t>Высоковольтный источник</t>
  </si>
  <si>
    <t>2.14.64.</t>
  </si>
  <si>
    <t>Генератор Ван-де-Граафа</t>
  </si>
  <si>
    <t>2.14.65.</t>
  </si>
  <si>
    <t>Дозиметр</t>
  </si>
  <si>
    <t>2.14.66.</t>
  </si>
  <si>
    <t>Камертоны на резонансных ящиках</t>
  </si>
  <si>
    <t>2.14.67.</t>
  </si>
  <si>
    <t>Комплект приборов и принадлежностей для демонстрации свойств электромагнитных волн</t>
  </si>
  <si>
    <t>2.14.68.</t>
  </si>
  <si>
    <t>Комплект приборов для изучения принципов радиоприема и радиопередачи</t>
  </si>
  <si>
    <t>2.14.69.</t>
  </si>
  <si>
    <t>Комплект проводов</t>
  </si>
  <si>
    <t>2.14.70.</t>
  </si>
  <si>
    <t>Магнит дугообразный</t>
  </si>
  <si>
    <t>2.14.71.</t>
  </si>
  <si>
    <t>Магнит полосовой демонстрационный</t>
  </si>
  <si>
    <t>2.14.72.</t>
  </si>
  <si>
    <t>Машина электрофорная</t>
  </si>
  <si>
    <t>2.14.73.</t>
  </si>
  <si>
    <t>Маятник электростатический</t>
  </si>
  <si>
    <t>2.14.74.</t>
  </si>
  <si>
    <t>Набор по изучению магнитного поля Земли</t>
  </si>
  <si>
    <t>2.14.75.</t>
  </si>
  <si>
    <t>Набор демонстрационный по магнитному полю кольцевых токов</t>
  </si>
  <si>
    <t>2.14.76.</t>
  </si>
  <si>
    <t>Набор демонстрационный по полупроводникам</t>
  </si>
  <si>
    <t>2.14.77.</t>
  </si>
  <si>
    <t>Набор демонстрационный по постоянному току</t>
  </si>
  <si>
    <t>2.14.78.</t>
  </si>
  <si>
    <t>Набор демонстрационный по электрическому току в вакууме</t>
  </si>
  <si>
    <t>2.14.79.</t>
  </si>
  <si>
    <t>Набор демонстрационный по электродинамике</t>
  </si>
  <si>
    <t>2.14.80.</t>
  </si>
  <si>
    <t>Набор для демонстрации магнитных полей</t>
  </si>
  <si>
    <t>2.14.81.</t>
  </si>
  <si>
    <t>Набор для демонстрации электрических полей</t>
  </si>
  <si>
    <t>2.14.82.</t>
  </si>
  <si>
    <t>Трансформатор учебный</t>
  </si>
  <si>
    <t>2.14.83.</t>
  </si>
  <si>
    <t>Палочка стеклянная</t>
  </si>
  <si>
    <t>2.14.84.</t>
  </si>
  <si>
    <t>Палочка эбонитовая</t>
  </si>
  <si>
    <t>2.14.85.</t>
  </si>
  <si>
    <t>Прибор Ленца</t>
  </si>
  <si>
    <t>2.14.86.</t>
  </si>
  <si>
    <t>Стрелки магнитные на штативах</t>
  </si>
  <si>
    <t>2.14.87.</t>
  </si>
  <si>
    <t>Султан электростатический</t>
  </si>
  <si>
    <t>2.14.88.</t>
  </si>
  <si>
    <t>Штативы изолирующие</t>
  </si>
  <si>
    <t>2.14.89.</t>
  </si>
  <si>
    <t>Электромагнит разборный</t>
  </si>
  <si>
    <t>Приборы демонстрационные. Оптика и квантовая физика</t>
  </si>
  <si>
    <t>2.14.90.</t>
  </si>
  <si>
    <t>Набор демонстрационный по геометрической оптике</t>
  </si>
  <si>
    <t>2.14.91.</t>
  </si>
  <si>
    <t>Набор демонстрационный по волновой оптике</t>
  </si>
  <si>
    <t>2.14.92.</t>
  </si>
  <si>
    <t>Спектроскоп двухтрубный</t>
  </si>
  <si>
    <t>2.14.93.</t>
  </si>
  <si>
    <t>Набор спектральных трубок с источником питания</t>
  </si>
  <si>
    <t>2.14.94.</t>
  </si>
  <si>
    <t>Установка для изучения фотоэффекта</t>
  </si>
  <si>
    <t>2.14.95.</t>
  </si>
  <si>
    <t>Набор демонстрационный по постоянной Планка</t>
  </si>
  <si>
    <t>Лабораторно-технологическое оборудование (лабораторное оборудование, приборы, наборы для эксперимента, инструменты)</t>
  </si>
  <si>
    <t>2.14.96.</t>
  </si>
  <si>
    <t>Цифровая лаборатория по физике для ученика</t>
  </si>
  <si>
    <t>2.14.97.</t>
  </si>
  <si>
    <t>Комплект для лабораторного практикума по оптике</t>
  </si>
  <si>
    <t>2.14.98.</t>
  </si>
  <si>
    <t>Комплект для лабораторного практикума по механике</t>
  </si>
  <si>
    <t>2.14.99.</t>
  </si>
  <si>
    <t>Комплект для лабораторного практикума по молекулярной физике</t>
  </si>
  <si>
    <t>2.14.100.</t>
  </si>
  <si>
    <t>Комплект для лабораторного практикума по электричеству (с генератором)</t>
  </si>
  <si>
    <t>2.14.101.</t>
  </si>
  <si>
    <t>Комплект для изучения основ механики, пневматики и возобновляемых источников энергии</t>
  </si>
  <si>
    <t>Электронные средства обучения (CD, DVD, Blu-ray, видеофильмы, интерактивные плакаты, лицензионное программное обеспечение)</t>
  </si>
  <si>
    <t>2.14.102.</t>
  </si>
  <si>
    <t>Электронные учебные пособия для кабинета физики</t>
  </si>
  <si>
    <t>2.14.103.</t>
  </si>
  <si>
    <t>Комплект учебных видео фильмов</t>
  </si>
  <si>
    <t>2.14.104.</t>
  </si>
  <si>
    <t>Комплект портретов для оформления кабинета</t>
  </si>
  <si>
    <t>2.14.105.</t>
  </si>
  <si>
    <t>Комплект наглядных пособий для постоянного использования</t>
  </si>
  <si>
    <t>2.14.106.</t>
  </si>
  <si>
    <t>2.14.107.</t>
  </si>
  <si>
    <t>Оборудование лаборантской кабинета физики</t>
  </si>
  <si>
    <t>2.14.108.</t>
  </si>
  <si>
    <t>2.14.109.</t>
  </si>
  <si>
    <t>2.14.110.</t>
  </si>
  <si>
    <t>Стол лабораторный моечный</t>
  </si>
  <si>
    <t>2.14.111.</t>
  </si>
  <si>
    <t>Сушильная панель для посуды</t>
  </si>
  <si>
    <t>2.14.112.</t>
  </si>
  <si>
    <t>Шкаф для хранения с выдвигающимися полками</t>
  </si>
  <si>
    <t>2.14.113.</t>
  </si>
  <si>
    <t>2.14.114.</t>
  </si>
  <si>
    <t>Шкаф для хранения посуды</t>
  </si>
  <si>
    <t>2.14.115.</t>
  </si>
  <si>
    <t>2.14.116.</t>
  </si>
  <si>
    <t>Лаборантский стол</t>
  </si>
  <si>
    <t>2.14.117.</t>
  </si>
  <si>
    <t>Стул лабораторный поворотный</t>
  </si>
  <si>
    <t>Подраздел 15. Кабинет химии</t>
  </si>
  <si>
    <t>Специализированная мебель и системы хранения для кабинета</t>
  </si>
  <si>
    <t>2.15.1.</t>
  </si>
  <si>
    <t>2.15.2.</t>
  </si>
  <si>
    <t>Стол демонстрационный с раковиной</t>
  </si>
  <si>
    <t>2.15.3.</t>
  </si>
  <si>
    <t>Стол демонстрационный с надстройкой</t>
  </si>
  <si>
    <t>2.15.4.</t>
  </si>
  <si>
    <t>2.15.5.</t>
  </si>
  <si>
    <t>2.15.6.</t>
  </si>
  <si>
    <t>2.15.7.</t>
  </si>
  <si>
    <t>2.15.8.</t>
  </si>
  <si>
    <t>2.15.9.</t>
  </si>
  <si>
    <t>2.15.10.</t>
  </si>
  <si>
    <t>2.15.11.</t>
  </si>
  <si>
    <t>2.15.12.</t>
  </si>
  <si>
    <t>2.15.13.</t>
  </si>
  <si>
    <t>2.15.14.</t>
  </si>
  <si>
    <t>2.15.15.</t>
  </si>
  <si>
    <t>2.15.16.</t>
  </si>
  <si>
    <t>2.15.17.</t>
  </si>
  <si>
    <t>2.15.18.</t>
  </si>
  <si>
    <t>2.15.19.</t>
  </si>
  <si>
    <t>2.15.20.</t>
  </si>
  <si>
    <t>2.15.21.</t>
  </si>
  <si>
    <t>2.15.22.</t>
  </si>
  <si>
    <t>Оборудование химической лаборатории</t>
  </si>
  <si>
    <t>Специализированная мебель и системы хранения для химической лаборатории</t>
  </si>
  <si>
    <t>2.15.23.</t>
  </si>
  <si>
    <t>2.15.24.</t>
  </si>
  <si>
    <t>2.15.25.</t>
  </si>
  <si>
    <t>2.15.26.</t>
  </si>
  <si>
    <t>2.15.27.</t>
  </si>
  <si>
    <t>Кресло для преподавателя</t>
  </si>
  <si>
    <t>2.15.28.</t>
  </si>
  <si>
    <t>Островной стол двухсторонний с подсветкой, электроснабжением, с полками и ящиками</t>
  </si>
  <si>
    <t>2.15.29.</t>
  </si>
  <si>
    <t>Стул лабораторный с регулируемой высотой</t>
  </si>
  <si>
    <t>2.15.30.</t>
  </si>
  <si>
    <t>Шкаф вытяжной панорамный</t>
  </si>
  <si>
    <t>2.15.31.</t>
  </si>
  <si>
    <t>2.15.32.</t>
  </si>
  <si>
    <t>2.15.33.</t>
  </si>
  <si>
    <t>Плакаты настенные</t>
  </si>
  <si>
    <t>2.15.34.</t>
  </si>
  <si>
    <t>Демонстрационное оборудование и приборы для кабинета и лаборатории</t>
  </si>
  <si>
    <t>2.15.35.</t>
  </si>
  <si>
    <t>Весы электронные с USB-переходником</t>
  </si>
  <si>
    <t>2.15.36.</t>
  </si>
  <si>
    <t>2.15.37.</t>
  </si>
  <si>
    <t>Центрифуга демонстрационная</t>
  </si>
  <si>
    <t>2.15.38.</t>
  </si>
  <si>
    <t>Штатив химический демонстрационный</t>
  </si>
  <si>
    <t>2.15.39.</t>
  </si>
  <si>
    <t>Аппарат для проведения химических реакций</t>
  </si>
  <si>
    <t>2.15.40.</t>
  </si>
  <si>
    <t>Аппарат Киппа</t>
  </si>
  <si>
    <t>2.15.41.</t>
  </si>
  <si>
    <t>Эвдиометр</t>
  </si>
  <si>
    <t>2.15.42.</t>
  </si>
  <si>
    <t>Генератор (источник) высокого напряжения</t>
  </si>
  <si>
    <t>2.15.43.</t>
  </si>
  <si>
    <t>Горелка универсальная</t>
  </si>
  <si>
    <t>2.15.44.</t>
  </si>
  <si>
    <t>Прибор для иллюстрации зависимости скорости химических реакций от условий окружающей среды</t>
  </si>
  <si>
    <t>2.15.45.</t>
  </si>
  <si>
    <t>Набор для электролиза демонстрационный</t>
  </si>
  <si>
    <t>2.15.46.</t>
  </si>
  <si>
    <t>Прибор для опытов по химии с электрическим током (лабораторный)</t>
  </si>
  <si>
    <t>2.15.47.</t>
  </si>
  <si>
    <t>Прибор для окисления спирта над медным катализатором</t>
  </si>
  <si>
    <t>2.15.48.</t>
  </si>
  <si>
    <t>Прибор для получения галоидоалканов демонстрационный</t>
  </si>
  <si>
    <t>2.15.49.</t>
  </si>
  <si>
    <t>Прибор для получения растворимых веществ в твердом виде</t>
  </si>
  <si>
    <t>2.15.50.</t>
  </si>
  <si>
    <t>Установка для фильтрования под вакуумом</t>
  </si>
  <si>
    <t>2.15.51.</t>
  </si>
  <si>
    <t>Прибор для определения состава воздуха</t>
  </si>
  <si>
    <t>2.15.52.</t>
  </si>
  <si>
    <t>Прибор для иллюстрации закона сохранения массы веществ</t>
  </si>
  <si>
    <t>2.15.53.</t>
  </si>
  <si>
    <t>Установка для перегонки веществ</t>
  </si>
  <si>
    <t>2.15.54.</t>
  </si>
  <si>
    <t>Прибор для получения растворимых твердых веществ ПРВ</t>
  </si>
  <si>
    <t>2.15.55.</t>
  </si>
  <si>
    <t>Лабораторно-технологическое оборудование для кабинета и лаборатории</t>
  </si>
  <si>
    <t>2.15.56.</t>
  </si>
  <si>
    <t>Цифровая лаборатория по химии для учителя</t>
  </si>
  <si>
    <t>2.15.57.</t>
  </si>
  <si>
    <t>Цифровая лаборатория по химии для ученика</t>
  </si>
  <si>
    <t>2.15.58.</t>
  </si>
  <si>
    <t>Мини-экспресс лаборатория учебная</t>
  </si>
  <si>
    <t>2.15.59.</t>
  </si>
  <si>
    <t>Прибор для получения галоидоалканов и сложных эфиров лабораторный</t>
  </si>
  <si>
    <t>2.15.60.</t>
  </si>
  <si>
    <t>Колбонагреватель</t>
  </si>
  <si>
    <t>2.15.61.</t>
  </si>
  <si>
    <t>2.15.62.</t>
  </si>
  <si>
    <t>Баня комбинированная лабораторная</t>
  </si>
  <si>
    <t>2.15.63.</t>
  </si>
  <si>
    <t>Весы для сыпучих материалов</t>
  </si>
  <si>
    <t>2.15.64.</t>
  </si>
  <si>
    <t>Прибор для получения газов</t>
  </si>
  <si>
    <t>2.15.65.</t>
  </si>
  <si>
    <t>Прибор для получения галоидоалканов лабораторный</t>
  </si>
  <si>
    <t>2.15.66.</t>
  </si>
  <si>
    <t>Спиртовка лабораторная стекло</t>
  </si>
  <si>
    <t>2.15.67.</t>
  </si>
  <si>
    <t>Спиртовка лабораторная литая</t>
  </si>
  <si>
    <t>2.15.68.</t>
  </si>
  <si>
    <t>Магнитная мешалка</t>
  </si>
  <si>
    <t>2.15.69.</t>
  </si>
  <si>
    <t>Газоанализатор кислорода и токсичных газов с цифровой индикацией показателей</t>
  </si>
  <si>
    <t>2.15.70.</t>
  </si>
  <si>
    <t>Микроскоп цифровой с руководством пользователя и пособием для учащихся</t>
  </si>
  <si>
    <t>2.15.71.</t>
  </si>
  <si>
    <t>Набор для чистки оптики</t>
  </si>
  <si>
    <t>2.15.72.</t>
  </si>
  <si>
    <t>Набор посуды для реактивов</t>
  </si>
  <si>
    <t>2.15.73.</t>
  </si>
  <si>
    <t>Набор посуды и принадлежностей для работы с малыми количествами веществ</t>
  </si>
  <si>
    <t>2.15.74.</t>
  </si>
  <si>
    <t>Набор принадлежностей для монтажа простейших приборов по химии</t>
  </si>
  <si>
    <t>2.15.75.</t>
  </si>
  <si>
    <t>Набор посуды и принадлежностей из пропилена (микролаборатория)</t>
  </si>
  <si>
    <t>Лабораторная химическая посуда для кабинета и лаборатории</t>
  </si>
  <si>
    <t>2.15.76.</t>
  </si>
  <si>
    <t>Комплект колб демонстрационных</t>
  </si>
  <si>
    <t>2.15.77.</t>
  </si>
  <si>
    <t>Кювета для датчика оптической плотности</t>
  </si>
  <si>
    <t>2.15.78.</t>
  </si>
  <si>
    <t>Набор пробок резиновых</t>
  </si>
  <si>
    <t>2.15.79.</t>
  </si>
  <si>
    <t>Переход стеклянный</t>
  </si>
  <si>
    <t>2.15.80.</t>
  </si>
  <si>
    <t>Пробирка Вюрца</t>
  </si>
  <si>
    <t>2.15.81.</t>
  </si>
  <si>
    <t>Пробирка двухколенная</t>
  </si>
  <si>
    <t>2.15.82.</t>
  </si>
  <si>
    <t>Соединитель стеклянный</t>
  </si>
  <si>
    <t>2.15.83.</t>
  </si>
  <si>
    <t>Шприц</t>
  </si>
  <si>
    <t>2.15.84.</t>
  </si>
  <si>
    <t>Зажим винтовой</t>
  </si>
  <si>
    <t>2.15.85.</t>
  </si>
  <si>
    <t>Зажим Мора</t>
  </si>
  <si>
    <t>2.15.86.</t>
  </si>
  <si>
    <t>Шланг силиконовый</t>
  </si>
  <si>
    <t>2.15.87.</t>
  </si>
  <si>
    <t>Комплект стеклянной посуды на шлифах демонстрационный</t>
  </si>
  <si>
    <t>2.15.88.</t>
  </si>
  <si>
    <t>Дозирующее устройство (механическое)</t>
  </si>
  <si>
    <t>2.15.89.</t>
  </si>
  <si>
    <t>Комплект изделий из керамики, фарфора и фаянса</t>
  </si>
  <si>
    <t>2.15.90.</t>
  </si>
  <si>
    <t>Комплект ложек фарфоровых</t>
  </si>
  <si>
    <t>2.15.91.</t>
  </si>
  <si>
    <t>Комплект мерных колб малого объема</t>
  </si>
  <si>
    <t>2.15.92.</t>
  </si>
  <si>
    <t>Комплект мерных колб</t>
  </si>
  <si>
    <t>2.15.93.</t>
  </si>
  <si>
    <t>Комплект мерных цилиндров пластиковых</t>
  </si>
  <si>
    <t>2.15.94.</t>
  </si>
  <si>
    <t>Комплект мерных цилиндров стеклянных</t>
  </si>
  <si>
    <t>2.15.95.</t>
  </si>
  <si>
    <t>Комплект воронок стеклянных</t>
  </si>
  <si>
    <t>2.15.96.</t>
  </si>
  <si>
    <t>Комплект пипеток</t>
  </si>
  <si>
    <t>2.15.97.</t>
  </si>
  <si>
    <t>Комплект стаканов пластиковых</t>
  </si>
  <si>
    <t>2.15.98.</t>
  </si>
  <si>
    <t>Комплект стаканов химических мерных</t>
  </si>
  <si>
    <t>2.15.99.</t>
  </si>
  <si>
    <t>Комплект стаканчиков для взвешивания</t>
  </si>
  <si>
    <t>2.15.100.</t>
  </si>
  <si>
    <t>Комплект ступок с пестиками</t>
  </si>
  <si>
    <t>2.15.101.</t>
  </si>
  <si>
    <t>Комплект шпателей</t>
  </si>
  <si>
    <t>2.15.102.</t>
  </si>
  <si>
    <t>Набор пинцетов</t>
  </si>
  <si>
    <t>2.15.103.</t>
  </si>
  <si>
    <t>Набор чашек Петри</t>
  </si>
  <si>
    <t>2.15.104.</t>
  </si>
  <si>
    <t>Трубка стеклянная</t>
  </si>
  <si>
    <t>2.15.105.</t>
  </si>
  <si>
    <t>Эксикатор</t>
  </si>
  <si>
    <t>2.15.106.</t>
  </si>
  <si>
    <t>Чаша кристаллизационная</t>
  </si>
  <si>
    <t>2.15.107.</t>
  </si>
  <si>
    <t>Щипцы тигельные</t>
  </si>
  <si>
    <t>2.15.108.</t>
  </si>
  <si>
    <t>Бюретка</t>
  </si>
  <si>
    <t>2.15.109.</t>
  </si>
  <si>
    <t>Пробирка</t>
  </si>
  <si>
    <t>2.15.110.</t>
  </si>
  <si>
    <t>Банка под реактивы полиэтиленовая</t>
  </si>
  <si>
    <t>2.15.111.</t>
  </si>
  <si>
    <t>Банка под реактивы стеклянная из темного стекла с притертой пробкой</t>
  </si>
  <si>
    <t>2.15.112.</t>
  </si>
  <si>
    <t>Набор склянок для растворов реактивов</t>
  </si>
  <si>
    <t>2.15.113.</t>
  </si>
  <si>
    <t>2.15.114.</t>
  </si>
  <si>
    <t>Штатив для пробирок</t>
  </si>
  <si>
    <t>2.15.115.</t>
  </si>
  <si>
    <t>Штатив лабораторный по химии</t>
  </si>
  <si>
    <t>2.15.116.</t>
  </si>
  <si>
    <t>Комплект этикеток для химической посуды лотка</t>
  </si>
  <si>
    <t>2.15.117.</t>
  </si>
  <si>
    <t>Комплект ершей для мытья химической посуды</t>
  </si>
  <si>
    <t>2.15.118.</t>
  </si>
  <si>
    <t>Комплект средств для индивидуальной защиты</t>
  </si>
  <si>
    <t>2.15.119.</t>
  </si>
  <si>
    <t>Комплект термометров</t>
  </si>
  <si>
    <t>2.15.120.</t>
  </si>
  <si>
    <t>Модели (объемные и плоские), натуральные объекты (коллекции, химические реактивы) для кабинета и лаборатории</t>
  </si>
  <si>
    <t>2.15.121.</t>
  </si>
  <si>
    <t>Комплект моделей кристаллических решеток</t>
  </si>
  <si>
    <t>2.15.122.</t>
  </si>
  <si>
    <t>Модель молекулы белка</t>
  </si>
  <si>
    <t>2.15.123.</t>
  </si>
  <si>
    <t>Набор для составления объемных моделей молекул</t>
  </si>
  <si>
    <t>2.15.124.</t>
  </si>
  <si>
    <t>Комплект для практических работ для моделирования молекул по неорганической химии</t>
  </si>
  <si>
    <t>2.15.125.</t>
  </si>
  <si>
    <t>Комплект для практических работ для моделирования молекул по органической химии</t>
  </si>
  <si>
    <t>2.15.126.</t>
  </si>
  <si>
    <t>Набор для моделирования строения атомов и молекул</t>
  </si>
  <si>
    <t>2.15.127.</t>
  </si>
  <si>
    <t>Набор моделей заводских химических аппаратов</t>
  </si>
  <si>
    <t>2.15.128.</t>
  </si>
  <si>
    <t>Набор трафаретов моделей атомов</t>
  </si>
  <si>
    <t>2.15.129.</t>
  </si>
  <si>
    <t>Набор для моделирования электронного строения атомов</t>
  </si>
  <si>
    <t>2.15.130.</t>
  </si>
  <si>
    <t>Комплект коллекций</t>
  </si>
  <si>
    <t>2.15.131.</t>
  </si>
  <si>
    <t>Комплект химических реактивов</t>
  </si>
  <si>
    <t>2.15.132.</t>
  </si>
  <si>
    <t>Электронные средства обучения для кабинета химии</t>
  </si>
  <si>
    <t>2.15.133.</t>
  </si>
  <si>
    <t>Комплект учебных видео фильмов по неорганической химии</t>
  </si>
  <si>
    <t>2.15.134.</t>
  </si>
  <si>
    <t>Комплект информационно справочной литературы для кабинета химии</t>
  </si>
  <si>
    <t>2.15.135.</t>
  </si>
  <si>
    <t>Методические рекомендации к цифровой лаборатории</t>
  </si>
  <si>
    <t>2.15.136.</t>
  </si>
  <si>
    <t>Комплект портретов великих химиков</t>
  </si>
  <si>
    <t>2.15.137.</t>
  </si>
  <si>
    <t>Пособия наглядной экспозиции</t>
  </si>
  <si>
    <t>2.15.138.</t>
  </si>
  <si>
    <t>Периодическая система химических элементов Д.И. Менделеева (таблица)</t>
  </si>
  <si>
    <t>2.15.139.</t>
  </si>
  <si>
    <t>Серия таблиц по неорганической химии (сменная экспозиция)</t>
  </si>
  <si>
    <t>2.15.140.</t>
  </si>
  <si>
    <t>Серия таблиц по органической химии (сменная экспозиция)</t>
  </si>
  <si>
    <t>2.15.141.</t>
  </si>
  <si>
    <t>Комплект транспарантов (прозрачных пленок)</t>
  </si>
  <si>
    <t>2.15.142.</t>
  </si>
  <si>
    <t>Серия таблиц по химическим производствам (сменная экспозиция)</t>
  </si>
  <si>
    <t>Оборудование лаборантской кабинета химии</t>
  </si>
  <si>
    <t>2.15.143.</t>
  </si>
  <si>
    <t>2.15.144.</t>
  </si>
  <si>
    <t>2.15.145.</t>
  </si>
  <si>
    <t>2.15.146.</t>
  </si>
  <si>
    <t>2.15.147.</t>
  </si>
  <si>
    <t>2.15.148.</t>
  </si>
  <si>
    <t>2.15.149.</t>
  </si>
  <si>
    <t>Шкаф для хранения химических реактивов огнеупорный</t>
  </si>
  <si>
    <t>2.15.150.</t>
  </si>
  <si>
    <t>Шкаф для хранения химических реактивов</t>
  </si>
  <si>
    <t>2.15.151.</t>
  </si>
  <si>
    <t>2.15.152.</t>
  </si>
  <si>
    <t>Шкаф вытяжной</t>
  </si>
  <si>
    <t>2.15.153.</t>
  </si>
  <si>
    <t>2.15.154.</t>
  </si>
  <si>
    <t>2.15.155.</t>
  </si>
  <si>
    <t>2.15.156.</t>
  </si>
  <si>
    <t>Электрический аквадистиллятор</t>
  </si>
  <si>
    <t>2.15.157.</t>
  </si>
  <si>
    <t>Шкаф сушильный</t>
  </si>
  <si>
    <t>2.15.158.</t>
  </si>
  <si>
    <t>Аптечка универсальная для оказания первой медицинской помощи</t>
  </si>
  <si>
    <t>2.15.159.</t>
  </si>
  <si>
    <t>Резиновые перчатки</t>
  </si>
  <si>
    <t>Подраздел 16. Кабинет биологии и экологии</t>
  </si>
  <si>
    <t>2.16.1.</t>
  </si>
  <si>
    <t>2.16.2.</t>
  </si>
  <si>
    <t>2.16.3.</t>
  </si>
  <si>
    <t>2.16.4.</t>
  </si>
  <si>
    <t>2.16.5.</t>
  </si>
  <si>
    <t>2.16.6.</t>
  </si>
  <si>
    <t>2.16.7.</t>
  </si>
  <si>
    <t>2.16.8.</t>
  </si>
  <si>
    <t>Стул ученический лабораторный с регулируемой высотой</t>
  </si>
  <si>
    <t>2.16.9.</t>
  </si>
  <si>
    <t>2.16.10.</t>
  </si>
  <si>
    <t>2.16.11.</t>
  </si>
  <si>
    <t>2.16.12.</t>
  </si>
  <si>
    <t>2.16.13.</t>
  </si>
  <si>
    <t>2.16.14.</t>
  </si>
  <si>
    <t>2.16.15.</t>
  </si>
  <si>
    <t>2.16.16.</t>
  </si>
  <si>
    <t>2.16.17.</t>
  </si>
  <si>
    <t>2.16.18.</t>
  </si>
  <si>
    <t>2.16.19.</t>
  </si>
  <si>
    <t>2.16.20.</t>
  </si>
  <si>
    <t>2.16.21.</t>
  </si>
  <si>
    <t>2.16.22.</t>
  </si>
  <si>
    <t>2.16.23.</t>
  </si>
  <si>
    <t>Комплект влажных препаратов демонстрационный</t>
  </si>
  <si>
    <t>2.16.24.</t>
  </si>
  <si>
    <t>Комплект гербариев демонстрационный</t>
  </si>
  <si>
    <t>2.16.25.</t>
  </si>
  <si>
    <t>Комплект коллекций демонстрационный</t>
  </si>
  <si>
    <t>2.16.26.</t>
  </si>
  <si>
    <t>Цифровой микроскоп бинокулярный (с камерой)</t>
  </si>
  <si>
    <t>2.16.27.</t>
  </si>
  <si>
    <t>2.16.28.</t>
  </si>
  <si>
    <t>2.16.29.</t>
  </si>
  <si>
    <t>Прибор для демонстрации водных свойств почвы</t>
  </si>
  <si>
    <t>2.16.30.</t>
  </si>
  <si>
    <t>Прибор для демонстрации всасывания воды корнями</t>
  </si>
  <si>
    <t>2.16.31.</t>
  </si>
  <si>
    <t>Прибор для обнаружения дыхательного газообмена у растений и животных</t>
  </si>
  <si>
    <t>2.16.32.</t>
  </si>
  <si>
    <t>Прибор для сравнения углекислого газа во вдыхаемом и выдыхаемом воздухе</t>
  </si>
  <si>
    <t>2.16.33.</t>
  </si>
  <si>
    <t>Цифровая лаборатория для учителя по биологии</t>
  </si>
  <si>
    <t>2.16.34.</t>
  </si>
  <si>
    <t>2.16.35.</t>
  </si>
  <si>
    <t>Зажим пробирочный</t>
  </si>
  <si>
    <t>2.16.36.</t>
  </si>
  <si>
    <t>Ложка для сжигания веществ</t>
  </si>
  <si>
    <t>2.16.37.</t>
  </si>
  <si>
    <t>Спиртовка лабораторная</t>
  </si>
  <si>
    <t>2.16.38.</t>
  </si>
  <si>
    <t>2.16.39.</t>
  </si>
  <si>
    <t>Воронка лабораторная</t>
  </si>
  <si>
    <t>2.16.40.</t>
  </si>
  <si>
    <t>Колба коническая</t>
  </si>
  <si>
    <t>2.16.41.</t>
  </si>
  <si>
    <t>2.16.42.</t>
  </si>
  <si>
    <t>Стакан</t>
  </si>
  <si>
    <t>2.16.43.</t>
  </si>
  <si>
    <t>Ступка фарфоровая с пестиком</t>
  </si>
  <si>
    <t>2.16.44.</t>
  </si>
  <si>
    <t>Цилиндр мерный</t>
  </si>
  <si>
    <t>2.16.45.</t>
  </si>
  <si>
    <t>Комплект микропрепаратов по анатомии, ботанике, зоологии, общей биологии</t>
  </si>
  <si>
    <t>2.16.46.</t>
  </si>
  <si>
    <t>Цифровая лаборатория по биологии для ученика</t>
  </si>
  <si>
    <t>2.16.47.</t>
  </si>
  <si>
    <t>Универсальный регистратор данных (мобильный компьютер ученика)</t>
  </si>
  <si>
    <t>2.16.48.</t>
  </si>
  <si>
    <t>Микроскоп школьный с подсветкой</t>
  </si>
  <si>
    <t>2.16.49.</t>
  </si>
  <si>
    <t>2.16.50.</t>
  </si>
  <si>
    <t>Цифровой микроскоп</t>
  </si>
  <si>
    <t>2.16.51.</t>
  </si>
  <si>
    <t>Набор для микроскопа по биологии</t>
  </si>
  <si>
    <t>Модели, муляжи, аппликации</t>
  </si>
  <si>
    <t>2.16.52.</t>
  </si>
  <si>
    <t>Комплект моделей-аппликаций демонстрационный</t>
  </si>
  <si>
    <t>2.16.53.</t>
  </si>
  <si>
    <t>Комплект анатомических моделей демонстрационный</t>
  </si>
  <si>
    <t>2.16.54.</t>
  </si>
  <si>
    <t>Набор палеонтологических муляжей</t>
  </si>
  <si>
    <t>2.16.55.</t>
  </si>
  <si>
    <t>Комплект ботанических моделей демонстрационный</t>
  </si>
  <si>
    <t>2.16.56.</t>
  </si>
  <si>
    <t>Комплект зоологических моделей демонстрационный</t>
  </si>
  <si>
    <t>2.16.57.</t>
  </si>
  <si>
    <t>Комплект муляжей демонстрационный</t>
  </si>
  <si>
    <t>2.16.58.</t>
  </si>
  <si>
    <t>Электронные средства обучения (CD, DVD, интерактивные плакаты, лицензионное программное обеспечение) для кабинета биологии</t>
  </si>
  <si>
    <t>2.16.59</t>
  </si>
  <si>
    <t>Видеофильмы</t>
  </si>
  <si>
    <t>2.16.60.</t>
  </si>
  <si>
    <t>2.16.61.</t>
  </si>
  <si>
    <t>Лаборантская для кабинета биологии и экологии</t>
  </si>
  <si>
    <t>2.16.62.</t>
  </si>
  <si>
    <t>2.16.63.</t>
  </si>
  <si>
    <t>2.16.64.</t>
  </si>
  <si>
    <t>2.16.65.</t>
  </si>
  <si>
    <t>2.16.66.</t>
  </si>
  <si>
    <t>2.16.67.</t>
  </si>
  <si>
    <t>2.16.68.</t>
  </si>
  <si>
    <t>2.16.69.</t>
  </si>
  <si>
    <t>2.16.70.</t>
  </si>
  <si>
    <t>2.16.71.</t>
  </si>
  <si>
    <t>Подраздел 17. Кабинет естествознания</t>
  </si>
  <si>
    <t>2.17.1.</t>
  </si>
  <si>
    <t>Школьная доска пятиэлементная</t>
  </si>
  <si>
    <t>2.17.2.</t>
  </si>
  <si>
    <t>2.17.3.</t>
  </si>
  <si>
    <t>2.17.4.</t>
  </si>
  <si>
    <t>2.17.5.</t>
  </si>
  <si>
    <t>2.17.6.</t>
  </si>
  <si>
    <t>2.17.7.</t>
  </si>
  <si>
    <t>2.17.8.</t>
  </si>
  <si>
    <t>2.17.9.</t>
  </si>
  <si>
    <t>2.17.10.</t>
  </si>
  <si>
    <t>Стенды настенные</t>
  </si>
  <si>
    <t>2.17.11.</t>
  </si>
  <si>
    <t>2.17.12.</t>
  </si>
  <si>
    <t>2.17.13.</t>
  </si>
  <si>
    <t>2.17.14.</t>
  </si>
  <si>
    <t>2.17.15.</t>
  </si>
  <si>
    <t>2.17.16.</t>
  </si>
  <si>
    <t>2.17.17.</t>
  </si>
  <si>
    <t>2.17.18.</t>
  </si>
  <si>
    <t>Демонстрационные и электронные учебные пособия</t>
  </si>
  <si>
    <t>2.17.19.</t>
  </si>
  <si>
    <t>2.17.20.</t>
  </si>
  <si>
    <t>Методическое пособие по использованию лабораторного комплекса для учебной практической и проектной деятельности по естественнонаучным дисциплинам</t>
  </si>
  <si>
    <t>Оборудование общего назначения и измерительные приборы</t>
  </si>
  <si>
    <t>2.17.21.</t>
  </si>
  <si>
    <t>2.17.22.</t>
  </si>
  <si>
    <t>Штатив демонстрационный</t>
  </si>
  <si>
    <t>2.17.23.</t>
  </si>
  <si>
    <t>Зарядное устройство</t>
  </si>
  <si>
    <t>2.17.24.</t>
  </si>
  <si>
    <t>Источник постоянного и переменного напряжения</t>
  </si>
  <si>
    <t>2.17.25.</t>
  </si>
  <si>
    <t>Доска для сушки посуды</t>
  </si>
  <si>
    <t>2.17.26.</t>
  </si>
  <si>
    <t>Устройство для хранения химических реактивов</t>
  </si>
  <si>
    <t>2.17.27.</t>
  </si>
  <si>
    <t>Барометр - анероид</t>
  </si>
  <si>
    <t>2.17.28.</t>
  </si>
  <si>
    <t>Гигрометр психометрический</t>
  </si>
  <si>
    <t>2.17.29.</t>
  </si>
  <si>
    <t>Весы лабораторные электронные</t>
  </si>
  <si>
    <t>2.17.30.</t>
  </si>
  <si>
    <t>Термометр электронный</t>
  </si>
  <si>
    <t>Демонстрационное оборудование</t>
  </si>
  <si>
    <t>2.17.31.</t>
  </si>
  <si>
    <t>Комплект для демонстрации поверхностного натяжения</t>
  </si>
  <si>
    <t>2.17.32.</t>
  </si>
  <si>
    <t>Набор для изучения закона сохранения энергии</t>
  </si>
  <si>
    <t>2.17.33.</t>
  </si>
  <si>
    <t>Прибор для наблюдения равномерного движения</t>
  </si>
  <si>
    <t>2.17.34.</t>
  </si>
  <si>
    <t>Прибор для изучения газовых законов (с манометром)</t>
  </si>
  <si>
    <t>2.17.35.</t>
  </si>
  <si>
    <t>Желоб Галилея</t>
  </si>
  <si>
    <t>2.17.36.</t>
  </si>
  <si>
    <t>Прибор для исследования звуковых волн</t>
  </si>
  <si>
    <t>2.17.37.</t>
  </si>
  <si>
    <t>2.17.38.</t>
  </si>
  <si>
    <t>2.17.39.</t>
  </si>
  <si>
    <t>2.17.40.</t>
  </si>
  <si>
    <t>Трансформатор универсальный</t>
  </si>
  <si>
    <t>2.17.41.</t>
  </si>
  <si>
    <t>2.17.42.</t>
  </si>
  <si>
    <t>Набор посуды и принадлежностей для проведения демонстрационных опытов</t>
  </si>
  <si>
    <t>2.17.43.</t>
  </si>
  <si>
    <t>2.17.44.</t>
  </si>
  <si>
    <t>2.17.45.</t>
  </si>
  <si>
    <t>Оборудование для проектной деятельности</t>
  </si>
  <si>
    <t>2.17.46.</t>
  </si>
  <si>
    <t>Лабораторный комплекс для учебной практической и проектной деятельности по естествознанию</t>
  </si>
  <si>
    <t>2.17.47.</t>
  </si>
  <si>
    <t>Цифровая лаборатория для лабораторного комплекса по естествознанию</t>
  </si>
  <si>
    <t>2.17.48.</t>
  </si>
  <si>
    <t>Мобильный компьютер (планшет, ноутбук)</t>
  </si>
  <si>
    <t>Оборудование для проведения лабораторных работ</t>
  </si>
  <si>
    <t>2.17.49.</t>
  </si>
  <si>
    <t>Мобильный компьютер ученика (планшет, ноутбук)</t>
  </si>
  <si>
    <t>2.17.50.</t>
  </si>
  <si>
    <t>Весы учебные лабораторные электронные</t>
  </si>
  <si>
    <t>2.17.51.</t>
  </si>
  <si>
    <t>Секундомер электронный</t>
  </si>
  <si>
    <t>2.17.52.</t>
  </si>
  <si>
    <t>Микролаборатория по химии</t>
  </si>
  <si>
    <t>2.17.53.</t>
  </si>
  <si>
    <t>Биологическая микролаборатория с микроскопом и микропрепаратами</t>
  </si>
  <si>
    <t>Модели, коллекции, химические реактивы</t>
  </si>
  <si>
    <t>2.17.54.</t>
  </si>
  <si>
    <t>Набор моделей атомов для составления моделей молекул по органической и неорганической химии</t>
  </si>
  <si>
    <t>2.17.55.</t>
  </si>
  <si>
    <t>Набор моделей кристаллических решеток</t>
  </si>
  <si>
    <t>2.17.56.</t>
  </si>
  <si>
    <t>Модели структуры белка</t>
  </si>
  <si>
    <t>2.17.57.</t>
  </si>
  <si>
    <t>Модель-аппликация по биосинтезу белка</t>
  </si>
  <si>
    <t>2.17.58.</t>
  </si>
  <si>
    <t>Модель-аппликация по строению клетки</t>
  </si>
  <si>
    <t>2.17.59.</t>
  </si>
  <si>
    <t>Подраздел 18. Кабинет математики</t>
  </si>
  <si>
    <t>2.18.1.</t>
  </si>
  <si>
    <t>2.18.2.</t>
  </si>
  <si>
    <t>2.18.3.</t>
  </si>
  <si>
    <t>2.18.4.</t>
  </si>
  <si>
    <t>2.18.5.</t>
  </si>
  <si>
    <t>2.18.6.</t>
  </si>
  <si>
    <t>2.18.7.</t>
  </si>
  <si>
    <t>2.18.8.</t>
  </si>
  <si>
    <t>2.18.9.</t>
  </si>
  <si>
    <t>2.18.10.</t>
  </si>
  <si>
    <t>2.18.11.</t>
  </si>
  <si>
    <t>2.18.12.</t>
  </si>
  <si>
    <t>2.18.13.</t>
  </si>
  <si>
    <t>2.18.14.</t>
  </si>
  <si>
    <t>2.18.15.</t>
  </si>
  <si>
    <t>2.18.16.</t>
  </si>
  <si>
    <t>2.18.17.</t>
  </si>
  <si>
    <t>2.18.18.</t>
  </si>
  <si>
    <t>2.18.19.</t>
  </si>
  <si>
    <t>2.18.20.</t>
  </si>
  <si>
    <t>Комплект чертежных инструментов классных</t>
  </si>
  <si>
    <t>2.18.21.</t>
  </si>
  <si>
    <t>2.18.22.</t>
  </si>
  <si>
    <t>Механическая рулетка</t>
  </si>
  <si>
    <t>2.18.23.</t>
  </si>
  <si>
    <t>2.18.24.</t>
  </si>
  <si>
    <t>Набор прозрачных геометрических тел с сечениями</t>
  </si>
  <si>
    <t>2.18.25.</t>
  </si>
  <si>
    <t>Набор деревянных геометрических тел</t>
  </si>
  <si>
    <t>2.18.26.</t>
  </si>
  <si>
    <t>Модель-аппликация по множествам</t>
  </si>
  <si>
    <t>2.18.27.</t>
  </si>
  <si>
    <t>Модель-аппликация по числовой прямой</t>
  </si>
  <si>
    <t>2.18.28.</t>
  </si>
  <si>
    <t>Модели единиц объема</t>
  </si>
  <si>
    <t>2.18.29.</t>
  </si>
  <si>
    <t>Набор для объемного представления дробей в виде кубов и шаров</t>
  </si>
  <si>
    <t>2.18.30.</t>
  </si>
  <si>
    <t>Набор по основам математики, конструирования и моделирования для класса</t>
  </si>
  <si>
    <t>2.18.31.</t>
  </si>
  <si>
    <t>Части целого на круге. Простые дроби</t>
  </si>
  <si>
    <t>2.18.32.</t>
  </si>
  <si>
    <t>Набор для упражнений в действиях с рациональными числами: сложение, вычитание, умножение и деление</t>
  </si>
  <si>
    <t>2.18.33.</t>
  </si>
  <si>
    <t>Набор моделей для лабораторных работ по стереометрии</t>
  </si>
  <si>
    <t>2.18.34.</t>
  </si>
  <si>
    <t>Электронные средства обучения для кабинета математики</t>
  </si>
  <si>
    <t>2.18.35.</t>
  </si>
  <si>
    <t>2.18.36.</t>
  </si>
  <si>
    <t>2.18.37.</t>
  </si>
  <si>
    <t>Подраздел 19. Кабинет информатики</t>
  </si>
  <si>
    <t>2.19.1.</t>
  </si>
  <si>
    <t>2.19.2.</t>
  </si>
  <si>
    <t>2.19.3.</t>
  </si>
  <si>
    <t>2.19.4.</t>
  </si>
  <si>
    <t>2.19.5.</t>
  </si>
  <si>
    <t>2.19.6.</t>
  </si>
  <si>
    <t>2.19.7.</t>
  </si>
  <si>
    <t>2.19.8.</t>
  </si>
  <si>
    <t>2.19.9.</t>
  </si>
  <si>
    <t>2.19.10.</t>
  </si>
  <si>
    <t>2.19.11.</t>
  </si>
  <si>
    <t>2.19.12.</t>
  </si>
  <si>
    <t>2.19.13.</t>
  </si>
  <si>
    <t>2.19.14.</t>
  </si>
  <si>
    <t>2.19.15.</t>
  </si>
  <si>
    <t>2.19.16.</t>
  </si>
  <si>
    <t>2.19.17.</t>
  </si>
  <si>
    <t>2.19.18.</t>
  </si>
  <si>
    <t>2.19.19.</t>
  </si>
  <si>
    <t>2.19.20.</t>
  </si>
  <si>
    <t>2.19.21.</t>
  </si>
  <si>
    <t>Компьютер ученика</t>
  </si>
  <si>
    <t>Электронные средства обучения (ПО, CD, DVD, видеофильмы, интерактивные плакаты, лицензионное программное обеспечение)</t>
  </si>
  <si>
    <t>2.19.22.</t>
  </si>
  <si>
    <t>Пакет программного обеспечения для обучения языкам программирования</t>
  </si>
  <si>
    <t>2.19.23.</t>
  </si>
  <si>
    <t>Подраздел 20. Мобильный компьютерный класс</t>
  </si>
  <si>
    <t>2.20.1.</t>
  </si>
  <si>
    <t>2.20.2.</t>
  </si>
  <si>
    <t>Мобильный компьютер учителя, лицензионное программное обеспечение</t>
  </si>
  <si>
    <t>2.20.3.</t>
  </si>
  <si>
    <t>Мобильный компьютер ученика, лицензионное программное обеспечение</t>
  </si>
  <si>
    <t>Подраздел 21. Кабинет технологии</t>
  </si>
  <si>
    <t>Часть 1. Домоводство (кройка и шитье)</t>
  </si>
  <si>
    <t>2.21.1.</t>
  </si>
  <si>
    <t>Доска настенная трехэлементная для письма мелом и маркером</t>
  </si>
  <si>
    <t>2.21.2.</t>
  </si>
  <si>
    <t>Стол для швейного оборудования</t>
  </si>
  <si>
    <t>2.21.3.</t>
  </si>
  <si>
    <t>Табурет рабочий (винтовой механизм регулировки высоты сиденья)</t>
  </si>
  <si>
    <t>2.21.4.</t>
  </si>
  <si>
    <t>Стол для черчения, выкроек и раскроя</t>
  </si>
  <si>
    <t>2.21.5.</t>
  </si>
  <si>
    <t>2.21.6.</t>
  </si>
  <si>
    <t>2.21.7.</t>
  </si>
  <si>
    <t>2.21.8.</t>
  </si>
  <si>
    <t>2.21.9.</t>
  </si>
  <si>
    <t>2.21.10.</t>
  </si>
  <si>
    <t>2.21.11.</t>
  </si>
  <si>
    <t>2.21.12.</t>
  </si>
  <si>
    <t>2.21.13.</t>
  </si>
  <si>
    <t>2.21.14.</t>
  </si>
  <si>
    <t>2.21.15.</t>
  </si>
  <si>
    <t>2.21.16.</t>
  </si>
  <si>
    <t>2.21.17.</t>
  </si>
  <si>
    <t>2.21.18.</t>
  </si>
  <si>
    <t>Лабораторно-технологическое оборудование</t>
  </si>
  <si>
    <t>2.21.19.</t>
  </si>
  <si>
    <t>Коллекции по волокнам и тканям</t>
  </si>
  <si>
    <t>2.21.20.</t>
  </si>
  <si>
    <t>Доска гладильная</t>
  </si>
  <si>
    <t>2.21.21.</t>
  </si>
  <si>
    <t>Манекен женский с подставкой (размер 42-50)</t>
  </si>
  <si>
    <t>2.21.22.</t>
  </si>
  <si>
    <t>Манекен подростковый размер (размер 36-44)</t>
  </si>
  <si>
    <t>2.21.23.</t>
  </si>
  <si>
    <t>Машина швейно-вышивальная</t>
  </si>
  <si>
    <t>2.21.24.</t>
  </si>
  <si>
    <t>Машина швейная</t>
  </si>
  <si>
    <t>2.21.25.</t>
  </si>
  <si>
    <t>Комплект для вышивания</t>
  </si>
  <si>
    <t>2.21.26.</t>
  </si>
  <si>
    <t>Шпуля пластиковая</t>
  </si>
  <si>
    <t>2.21.27.</t>
  </si>
  <si>
    <t>Коврик для швейных машин</t>
  </si>
  <si>
    <t>2.21.28.</t>
  </si>
  <si>
    <t>Набор игл для швейной машины</t>
  </si>
  <si>
    <t>2.21.29.</t>
  </si>
  <si>
    <t>Ножницы универсальные</t>
  </si>
  <si>
    <t>2.21.30.</t>
  </si>
  <si>
    <t>Ножницы закройные</t>
  </si>
  <si>
    <t>2.21.31.</t>
  </si>
  <si>
    <t>Ножницы Зигзаг</t>
  </si>
  <si>
    <t>2.21.32.</t>
  </si>
  <si>
    <t>Воск портновский</t>
  </si>
  <si>
    <t>2.21.33.</t>
  </si>
  <si>
    <t>Оверлок</t>
  </si>
  <si>
    <t>2.21.34.</t>
  </si>
  <si>
    <t>Утюг с пароувлажнителем</t>
  </si>
  <si>
    <t>2.21.35.</t>
  </si>
  <si>
    <t>Отпариватель</t>
  </si>
  <si>
    <t>2.21.36.</t>
  </si>
  <si>
    <t>Зеркало для примерок</t>
  </si>
  <si>
    <t>2.21.37.</t>
  </si>
  <si>
    <t>Ширма примерочная</t>
  </si>
  <si>
    <t>2.21.38.</t>
  </si>
  <si>
    <t>Аптечка первой помощи.</t>
  </si>
  <si>
    <t>2.21.39.</t>
  </si>
  <si>
    <t>Комплект таблиц демонстрационных по технологии обработки тканей</t>
  </si>
  <si>
    <t>2.21.40.</t>
  </si>
  <si>
    <t>Комплект справочников по швейному мастерству</t>
  </si>
  <si>
    <t>2.21.41.</t>
  </si>
  <si>
    <t>Электронные учебные пособия по учебному предмету технология</t>
  </si>
  <si>
    <t>2.21.42.</t>
  </si>
  <si>
    <t>Часть 2. Домоводство (кулинария)</t>
  </si>
  <si>
    <t>2.21.43.</t>
  </si>
  <si>
    <t>2.21.44.</t>
  </si>
  <si>
    <t>2.21.45.</t>
  </si>
  <si>
    <t>2.21.46.</t>
  </si>
  <si>
    <t>2.21.47.</t>
  </si>
  <si>
    <t>2.21.48.</t>
  </si>
  <si>
    <t>2.21.49.</t>
  </si>
  <si>
    <t>2.21.50.</t>
  </si>
  <si>
    <t>2.21.51.</t>
  </si>
  <si>
    <t>2.21.52.</t>
  </si>
  <si>
    <t>Мебель кухонная</t>
  </si>
  <si>
    <t>2.21.53.</t>
  </si>
  <si>
    <t>Стол обеденный с гигиеническим покрытием</t>
  </si>
  <si>
    <t>2.21.54.</t>
  </si>
  <si>
    <t>Табурет обеденный</t>
  </si>
  <si>
    <t>2.21.55.</t>
  </si>
  <si>
    <t>2.21.56.</t>
  </si>
  <si>
    <t>2.21.57.</t>
  </si>
  <si>
    <t>2.21.58.</t>
  </si>
  <si>
    <t>2.21.59.</t>
  </si>
  <si>
    <t>2.21.60.</t>
  </si>
  <si>
    <t>2.21.61.</t>
  </si>
  <si>
    <t>2.21.62.</t>
  </si>
  <si>
    <t>Санитарно-пищевая экспресс-лаборатория</t>
  </si>
  <si>
    <t>2.21.63.</t>
  </si>
  <si>
    <t>Электроплита с духовкой</t>
  </si>
  <si>
    <t>2.21.64.</t>
  </si>
  <si>
    <t>Вытяжка</t>
  </si>
  <si>
    <t>2.21.65.</t>
  </si>
  <si>
    <t>Холодильник</t>
  </si>
  <si>
    <t>2.21.66.</t>
  </si>
  <si>
    <t>Микроволновая печь</t>
  </si>
  <si>
    <t>2.21.67.</t>
  </si>
  <si>
    <t>Миксер</t>
  </si>
  <si>
    <t>2.21.68.</t>
  </si>
  <si>
    <t>Мясорубка электрическая</t>
  </si>
  <si>
    <t>2.21.69.</t>
  </si>
  <si>
    <t>Блендер</t>
  </si>
  <si>
    <t>2.21.70.</t>
  </si>
  <si>
    <t>Чайник электрический</t>
  </si>
  <si>
    <t>2.21.71.</t>
  </si>
  <si>
    <t>Весы настольные электронные кухонные</t>
  </si>
  <si>
    <t>2.21.72.</t>
  </si>
  <si>
    <t>Комплект столовых приборов</t>
  </si>
  <si>
    <t>2.21.73.</t>
  </si>
  <si>
    <t>Набор кухонных ножей</t>
  </si>
  <si>
    <t>2.21.74.</t>
  </si>
  <si>
    <t>Набор разделочных досок</t>
  </si>
  <si>
    <t>2.21.75.</t>
  </si>
  <si>
    <t>Набор посуды для приготовления пищи</t>
  </si>
  <si>
    <t>2.21.76.</t>
  </si>
  <si>
    <t>Набор приборов для приготовления пищи</t>
  </si>
  <si>
    <t>2.21.77.</t>
  </si>
  <si>
    <t>Сервиз столовый на 6 персон.</t>
  </si>
  <si>
    <t>2.21.78</t>
  </si>
  <si>
    <t>Сервиз чайный на 6 персон</t>
  </si>
  <si>
    <t>2.21.79.</t>
  </si>
  <si>
    <t>Сервиз кофейный на 6 персон</t>
  </si>
  <si>
    <t>2.21.80.</t>
  </si>
  <si>
    <t>Стакан мерный для сыпучих продуктов и жидкостей</t>
  </si>
  <si>
    <t>2.21.81.</t>
  </si>
  <si>
    <t>Терка</t>
  </si>
  <si>
    <t>2.21.82.</t>
  </si>
  <si>
    <t>Комплект таблиц демонстрационных по кулинарии</t>
  </si>
  <si>
    <t>2.21.83.</t>
  </si>
  <si>
    <t>Комплект учебных пособий и справочников по кулинарии</t>
  </si>
  <si>
    <t>2.21.84.</t>
  </si>
  <si>
    <t>2.21.85.</t>
  </si>
  <si>
    <t>Часть 3. Слесарное дело</t>
  </si>
  <si>
    <t>2.21.86.</t>
  </si>
  <si>
    <t>2.21.87.</t>
  </si>
  <si>
    <t>2.21.88.</t>
  </si>
  <si>
    <t>2.21.89.</t>
  </si>
  <si>
    <t>2.21.90.</t>
  </si>
  <si>
    <t>2.21.91.</t>
  </si>
  <si>
    <t>2.21.92.</t>
  </si>
  <si>
    <t>2.21.93.</t>
  </si>
  <si>
    <t>2.21.94.</t>
  </si>
  <si>
    <t>Тумба металлическая для инструмента</t>
  </si>
  <si>
    <t>2.21.95.</t>
  </si>
  <si>
    <t>2.21.96.</t>
  </si>
  <si>
    <t>2.21.97.</t>
  </si>
  <si>
    <t>Верстак ученический комбинированный</t>
  </si>
  <si>
    <t>2.21.98.</t>
  </si>
  <si>
    <t>Стол металлический под станок</t>
  </si>
  <si>
    <t>Лабораторно-технологическое оборудование, инструменты и средства безопасности</t>
  </si>
  <si>
    <t>2.21.99.</t>
  </si>
  <si>
    <t>Машина заточная</t>
  </si>
  <si>
    <t>2.21.100.</t>
  </si>
  <si>
    <t>Станок сверлильный</t>
  </si>
  <si>
    <t>2.21.101.</t>
  </si>
  <si>
    <t>Вертикально фрезерный станок</t>
  </si>
  <si>
    <t>2.21.102.</t>
  </si>
  <si>
    <t>Станок токарный по металлу</t>
  </si>
  <si>
    <t>2.21.103.</t>
  </si>
  <si>
    <t>Набор ключей гаечных</t>
  </si>
  <si>
    <t>2.21.104.</t>
  </si>
  <si>
    <t>Ключ гаечный разводной</t>
  </si>
  <si>
    <t>2.21.105.</t>
  </si>
  <si>
    <t>Набор ключей торцевых трубчатых</t>
  </si>
  <si>
    <t>2.21.106.</t>
  </si>
  <si>
    <t>Кувалда</t>
  </si>
  <si>
    <t>2.21.107.</t>
  </si>
  <si>
    <t>Набор молотков слесарных</t>
  </si>
  <si>
    <t>2.21.108.</t>
  </si>
  <si>
    <t>Киянка деревянная</t>
  </si>
  <si>
    <t>2.21.109.</t>
  </si>
  <si>
    <t>Киянка резиновая</t>
  </si>
  <si>
    <t>2.21.110.</t>
  </si>
  <si>
    <t>Набор надфилей</t>
  </si>
  <si>
    <t>2.21.111.</t>
  </si>
  <si>
    <t>Набор напильников</t>
  </si>
  <si>
    <t>2.21.112.</t>
  </si>
  <si>
    <t>Ножницы по металлу</t>
  </si>
  <si>
    <t>2.21.113.</t>
  </si>
  <si>
    <t>Набор отверток</t>
  </si>
  <si>
    <t>2.21.114.</t>
  </si>
  <si>
    <t>Тиски слесарные поворотные</t>
  </si>
  <si>
    <t>2.21.115.</t>
  </si>
  <si>
    <t>Плоскогубцы комбинированные</t>
  </si>
  <si>
    <t>2.21.116.</t>
  </si>
  <si>
    <t>Набор рашпилей</t>
  </si>
  <si>
    <t>2.21.117.</t>
  </si>
  <si>
    <t>Набор зенковок конических</t>
  </si>
  <si>
    <t>2.21.118.</t>
  </si>
  <si>
    <t>Набор плашек</t>
  </si>
  <si>
    <t>2.21.119.</t>
  </si>
  <si>
    <t>Набор резцов расточных</t>
  </si>
  <si>
    <t>2.21.120.</t>
  </si>
  <si>
    <t>Набор резцов токарных отрезных</t>
  </si>
  <si>
    <t>2.21.121.</t>
  </si>
  <si>
    <t>Набор сверл по дереву</t>
  </si>
  <si>
    <t>2.21.122.</t>
  </si>
  <si>
    <t>Набор сверл спиральных</t>
  </si>
  <si>
    <t>2.21.123.</t>
  </si>
  <si>
    <t>Сверло центровочное</t>
  </si>
  <si>
    <t>2.21.124.</t>
  </si>
  <si>
    <t>Фреза дисковая трехсторонняя</t>
  </si>
  <si>
    <t>2.21.125.</t>
  </si>
  <si>
    <t>Фреза дисковая пазовая</t>
  </si>
  <si>
    <t>2.21.126.</t>
  </si>
  <si>
    <t>Фреза для обработки Т-образных пазов</t>
  </si>
  <si>
    <t>2.21.127.</t>
  </si>
  <si>
    <t>Фреза концевая</t>
  </si>
  <si>
    <t>2.21.128.</t>
  </si>
  <si>
    <t>Фреза отрезная</t>
  </si>
  <si>
    <t>2.21.129.</t>
  </si>
  <si>
    <t>Циркуль разметочный</t>
  </si>
  <si>
    <t>2.21.130.</t>
  </si>
  <si>
    <t>Глубиномер микрометрический</t>
  </si>
  <si>
    <t>2.21.131.</t>
  </si>
  <si>
    <t>Метр складной металлический</t>
  </si>
  <si>
    <t>2.21.132.</t>
  </si>
  <si>
    <t>Набор линеек металлических</t>
  </si>
  <si>
    <t>2.21.133.</t>
  </si>
  <si>
    <t>Набор микрометров гладких</t>
  </si>
  <si>
    <t>2.21.134.</t>
  </si>
  <si>
    <t>Набор угольников поверочных слесарных</t>
  </si>
  <si>
    <t>2.21.135.</t>
  </si>
  <si>
    <t>Набор шаблонов радиусных</t>
  </si>
  <si>
    <t>2.21.136.</t>
  </si>
  <si>
    <t>Штангенглубиномер</t>
  </si>
  <si>
    <t>2.21.137.</t>
  </si>
  <si>
    <t>Штангенциркуль</t>
  </si>
  <si>
    <t>2.21.138.</t>
  </si>
  <si>
    <t>Щупы (набор)</t>
  </si>
  <si>
    <t>2.21.139.</t>
  </si>
  <si>
    <t>Электродрель</t>
  </si>
  <si>
    <t>2.21.140.</t>
  </si>
  <si>
    <t>Электроудлинитель</t>
  </si>
  <si>
    <t>2.21.141.</t>
  </si>
  <si>
    <t>Набор брусков</t>
  </si>
  <si>
    <t>2.21.142.</t>
  </si>
  <si>
    <t>Набор шлифовальной бумаги</t>
  </si>
  <si>
    <t>2.21.143.</t>
  </si>
  <si>
    <t>2.21.144.</t>
  </si>
  <si>
    <t>Щиток защитный лицевой</t>
  </si>
  <si>
    <t>2.21.145.</t>
  </si>
  <si>
    <t>Фартук защитный</t>
  </si>
  <si>
    <t>2.21.146.</t>
  </si>
  <si>
    <t>Аптечка</t>
  </si>
  <si>
    <t>2.21.147.</t>
  </si>
  <si>
    <t>Индивидуальный перевязочный пакет</t>
  </si>
  <si>
    <t>2.21.148.</t>
  </si>
  <si>
    <t>Комплект таблиц по слесарному делу</t>
  </si>
  <si>
    <t>2.21.149.</t>
  </si>
  <si>
    <t>Часть 4. Столярное дело</t>
  </si>
  <si>
    <t>2.21.150.</t>
  </si>
  <si>
    <t>2.21.151.</t>
  </si>
  <si>
    <t>2.21.152.</t>
  </si>
  <si>
    <t>2.21.153.</t>
  </si>
  <si>
    <t>2.21.154.</t>
  </si>
  <si>
    <t>2.21.155.</t>
  </si>
  <si>
    <t>2.21.156.</t>
  </si>
  <si>
    <t>2.21.157.</t>
  </si>
  <si>
    <t>2.21.158.</t>
  </si>
  <si>
    <t>2.21.159.</t>
  </si>
  <si>
    <t>2.21.160.</t>
  </si>
  <si>
    <t>2.21.161.</t>
  </si>
  <si>
    <t>2.21.162.</t>
  </si>
  <si>
    <t>2.21.163.</t>
  </si>
  <si>
    <t>2.21.164.</t>
  </si>
  <si>
    <t>Станок токарный деревообрабатывающий</t>
  </si>
  <si>
    <t>2.21.165.</t>
  </si>
  <si>
    <t>2.21.166.</t>
  </si>
  <si>
    <t>2.21.167.</t>
  </si>
  <si>
    <t>Электропаяльник</t>
  </si>
  <si>
    <t>2.21.168.</t>
  </si>
  <si>
    <t>Прибор для выжигания по дереву</t>
  </si>
  <si>
    <t>2.21.169.</t>
  </si>
  <si>
    <t>Комплект деревянных инструментов</t>
  </si>
  <si>
    <t>2.21.170.</t>
  </si>
  <si>
    <t>Набор металлических линеек</t>
  </si>
  <si>
    <t>2.21.171.</t>
  </si>
  <si>
    <t>Метр складной</t>
  </si>
  <si>
    <t>2.21.172.</t>
  </si>
  <si>
    <t>2.21.173.</t>
  </si>
  <si>
    <t>Угольник столярный</t>
  </si>
  <si>
    <t>2.21.174.</t>
  </si>
  <si>
    <t>2.21.175.</t>
  </si>
  <si>
    <t>2.21.176.</t>
  </si>
  <si>
    <t>2.21.177.</t>
  </si>
  <si>
    <t>2.21.178.</t>
  </si>
  <si>
    <t>2.21.179.</t>
  </si>
  <si>
    <t>Аптечка промышленная</t>
  </si>
  <si>
    <t>2.21.180.</t>
  </si>
  <si>
    <t>Дрель ручная</t>
  </si>
  <si>
    <t>2.21.181.</t>
  </si>
  <si>
    <t>Лобзик учебный</t>
  </si>
  <si>
    <t>2.21.182.</t>
  </si>
  <si>
    <t>Набор пил для лобзиков</t>
  </si>
  <si>
    <t>2.21.183.</t>
  </si>
  <si>
    <t>Рубанок</t>
  </si>
  <si>
    <t>2.21.184.</t>
  </si>
  <si>
    <t>Ножовка по дереву</t>
  </si>
  <si>
    <t>2.21.185.</t>
  </si>
  <si>
    <t>2.21.186.</t>
  </si>
  <si>
    <t>2.21.187.</t>
  </si>
  <si>
    <t>Набор резцов по дереву</t>
  </si>
  <si>
    <t>2.21.188.</t>
  </si>
  <si>
    <t>Клещи</t>
  </si>
  <si>
    <t>2.21.189.</t>
  </si>
  <si>
    <t>2.21.190.</t>
  </si>
  <si>
    <t>Долото</t>
  </si>
  <si>
    <t>2.21.191.</t>
  </si>
  <si>
    <t>Стамеска</t>
  </si>
  <si>
    <t>2.21.192.</t>
  </si>
  <si>
    <t>2.21.193.</t>
  </si>
  <si>
    <t>2.21.194.</t>
  </si>
  <si>
    <t>Топор малый</t>
  </si>
  <si>
    <t>2.21.195.</t>
  </si>
  <si>
    <t>Топор большой</t>
  </si>
  <si>
    <t>2.21.196.</t>
  </si>
  <si>
    <t>Пила двуручная</t>
  </si>
  <si>
    <t>2.21.197.</t>
  </si>
  <si>
    <t>Набор шпателей</t>
  </si>
  <si>
    <t>2.21.198.</t>
  </si>
  <si>
    <t>2.21.199.</t>
  </si>
  <si>
    <t>Набор сверл по металлу</t>
  </si>
  <si>
    <t>2.21.200.</t>
  </si>
  <si>
    <t>Набор кистей</t>
  </si>
  <si>
    <t>2.21.201.</t>
  </si>
  <si>
    <t>2.21.202.</t>
  </si>
  <si>
    <t>Клей поливинилацетат</t>
  </si>
  <si>
    <t>2.21.203.</t>
  </si>
  <si>
    <t>Лак мебельный</t>
  </si>
  <si>
    <t>2.21.204.</t>
  </si>
  <si>
    <t>Морилка</t>
  </si>
  <si>
    <t>2.21.205.</t>
  </si>
  <si>
    <t>Набор карандашей столярных</t>
  </si>
  <si>
    <t>2.21.206.</t>
  </si>
  <si>
    <t>Комплекты таблиц по столярному делу</t>
  </si>
  <si>
    <t>Часть 5. Универсальная мастерская технологии работы с деревом, металлом и выполнения проектных работ школьников</t>
  </si>
  <si>
    <t>Лабораторно-технологическое оборудование, инструменты и средства безопасности. Модуль материальных технологий</t>
  </si>
  <si>
    <t>2.21.207.</t>
  </si>
  <si>
    <t>Вертикально фрезерный станок с числовым программным управлением</t>
  </si>
  <si>
    <t>2.21.208.</t>
  </si>
  <si>
    <t>Станок токарный по металлу с числовым программным управлением</t>
  </si>
  <si>
    <t>2.21.209.</t>
  </si>
  <si>
    <t>Конструктор модульных станков для работы по металлу</t>
  </si>
  <si>
    <t>2.21.210.</t>
  </si>
  <si>
    <t>Ресурсный набор к конструктору модульных станков</t>
  </si>
  <si>
    <t>2.21.211.</t>
  </si>
  <si>
    <t>Комплект числового программного управления для конструктора модульных станков</t>
  </si>
  <si>
    <t>2.21.212.</t>
  </si>
  <si>
    <t>2.21.213.</t>
  </si>
  <si>
    <t>2.21.214.</t>
  </si>
  <si>
    <t>Станок лазерной резки</t>
  </si>
  <si>
    <t>2.21.215.</t>
  </si>
  <si>
    <t>Фрезерно-гравировальный станок с числовым программным управлением</t>
  </si>
  <si>
    <t>2.21.216.</t>
  </si>
  <si>
    <t>2.21.217.</t>
  </si>
  <si>
    <t>Шуруповерт</t>
  </si>
  <si>
    <t>2.21.218.</t>
  </si>
  <si>
    <t>Углошлифовальная машина</t>
  </si>
  <si>
    <t>2.21.219.</t>
  </si>
  <si>
    <t>Шлейфмашина ленточная</t>
  </si>
  <si>
    <t>2.21.220.</t>
  </si>
  <si>
    <t>Ручная фрезерная машина</t>
  </si>
  <si>
    <t>2.21.221.</t>
  </si>
  <si>
    <t>Лобзик электрический ручной</t>
  </si>
  <si>
    <t>2.21.222.</t>
  </si>
  <si>
    <t>Клеевой пистолет</t>
  </si>
  <si>
    <t>2.21.223.</t>
  </si>
  <si>
    <t>Лазерный дальномер</t>
  </si>
  <si>
    <t>2.21.224.</t>
  </si>
  <si>
    <t>2.21.225.</t>
  </si>
  <si>
    <t>2.21.226.</t>
  </si>
  <si>
    <t>2.21.227.</t>
  </si>
  <si>
    <t>Линейка металлическая</t>
  </si>
  <si>
    <t>2.21.228.</t>
  </si>
  <si>
    <t>Метр металлический</t>
  </si>
  <si>
    <t>2.21.229.</t>
  </si>
  <si>
    <t>2.21.230.</t>
  </si>
  <si>
    <t>2.21.231.</t>
  </si>
  <si>
    <t>2.21.232.</t>
  </si>
  <si>
    <t>2.21.233.</t>
  </si>
  <si>
    <t>2.21.234.</t>
  </si>
  <si>
    <t>2.21.235.</t>
  </si>
  <si>
    <t>2.21.236.</t>
  </si>
  <si>
    <t>2.21.237.</t>
  </si>
  <si>
    <t>2.21.238.</t>
  </si>
  <si>
    <t>2.21.239.</t>
  </si>
  <si>
    <t>Плоскогубцы монтажные</t>
  </si>
  <si>
    <t>2.21.240.</t>
  </si>
  <si>
    <t>2.21.241.</t>
  </si>
  <si>
    <t>2.21.242.</t>
  </si>
  <si>
    <t>2.21.243.</t>
  </si>
  <si>
    <t>2.21.244.</t>
  </si>
  <si>
    <t>2.21.245.</t>
  </si>
  <si>
    <t>2.21.246.</t>
  </si>
  <si>
    <t>2.21.247.</t>
  </si>
  <si>
    <t>2.21.248.</t>
  </si>
  <si>
    <t>2.21.249.</t>
  </si>
  <si>
    <t>2.21.250.</t>
  </si>
  <si>
    <t>2.21.251.</t>
  </si>
  <si>
    <t>2.21.252.</t>
  </si>
  <si>
    <t>2.21.253.</t>
  </si>
  <si>
    <t>2.21.254.</t>
  </si>
  <si>
    <t>2.21.255.</t>
  </si>
  <si>
    <t>2.21.256.</t>
  </si>
  <si>
    <t>2.21.257.</t>
  </si>
  <si>
    <t>2.21.258.</t>
  </si>
  <si>
    <t>2.21.259.</t>
  </si>
  <si>
    <t>2.21.260.</t>
  </si>
  <si>
    <t>2.21.261.</t>
  </si>
  <si>
    <t>2.21.262.</t>
  </si>
  <si>
    <t>2.21.263.</t>
  </si>
  <si>
    <t>Гвоздодер</t>
  </si>
  <si>
    <t>2.21.264.</t>
  </si>
  <si>
    <t>Молоток</t>
  </si>
  <si>
    <t>2.21.265.</t>
  </si>
  <si>
    <t>2.21.266.</t>
  </si>
  <si>
    <t>Набор стамесок</t>
  </si>
  <si>
    <t>2.21.267.</t>
  </si>
  <si>
    <t>2.21.268.</t>
  </si>
  <si>
    <t>2.21.269.</t>
  </si>
  <si>
    <t>2.21.270.</t>
  </si>
  <si>
    <t>2.21.271.</t>
  </si>
  <si>
    <t>2.21.272.</t>
  </si>
  <si>
    <t>2.21.273.</t>
  </si>
  <si>
    <t>2.21.274.</t>
  </si>
  <si>
    <t>2.21.275.</t>
  </si>
  <si>
    <t>Паста "ГОИ"</t>
  </si>
  <si>
    <t>2.21.276.</t>
  </si>
  <si>
    <t>2.21.277.</t>
  </si>
  <si>
    <t>2.21.278.</t>
  </si>
  <si>
    <t>2.21.279.</t>
  </si>
  <si>
    <t>2.21.280.</t>
  </si>
  <si>
    <t>Подраздел 22. Кабинет Основы безопасности жизнедеятельности</t>
  </si>
  <si>
    <t>2.22.1.</t>
  </si>
  <si>
    <t>2.22.2.</t>
  </si>
  <si>
    <t>2.22.3.</t>
  </si>
  <si>
    <t>2.22.4.</t>
  </si>
  <si>
    <t>2.22.5.</t>
  </si>
  <si>
    <t>Стол ученический двухместный регулируемый по высоте электрифицированный</t>
  </si>
  <si>
    <t>2.22.6.</t>
  </si>
  <si>
    <t>2.22.7.</t>
  </si>
  <si>
    <t>2.22.8.</t>
  </si>
  <si>
    <t>2.22.9.</t>
  </si>
  <si>
    <t>Сейф оружейный</t>
  </si>
  <si>
    <t>2.22.10.</t>
  </si>
  <si>
    <t>Система хранения тренажеров</t>
  </si>
  <si>
    <t>2.22.11.</t>
  </si>
  <si>
    <t>2.22.12.</t>
  </si>
  <si>
    <t>2.22.13.</t>
  </si>
  <si>
    <t>2.22.14.</t>
  </si>
  <si>
    <t>2.22.15.</t>
  </si>
  <si>
    <t>2.22.16.</t>
  </si>
  <si>
    <t>2.22.17.</t>
  </si>
  <si>
    <t>2.22.18.</t>
  </si>
  <si>
    <t>2.22.19.</t>
  </si>
  <si>
    <t>2.22.20.</t>
  </si>
  <si>
    <t>2.22.21.</t>
  </si>
  <si>
    <t>2.22.22.</t>
  </si>
  <si>
    <t>2.22.23.</t>
  </si>
  <si>
    <t>2.22.24.</t>
  </si>
  <si>
    <t>Мини-экспресс-лаборатории радиационно-химической разведки</t>
  </si>
  <si>
    <t>2.22.25.</t>
  </si>
  <si>
    <t>2.22.26.</t>
  </si>
  <si>
    <t>2.22.27.</t>
  </si>
  <si>
    <t>Защитный костюм</t>
  </si>
  <si>
    <t>2.22.28.</t>
  </si>
  <si>
    <t>Измеритель электропроводности, кислотности и температуры</t>
  </si>
  <si>
    <t>2.22.29.</t>
  </si>
  <si>
    <t>Компас-азимут</t>
  </si>
  <si>
    <t>2.22.30.</t>
  </si>
  <si>
    <t>Противогаз взрослый, фильтрующе-поглощающий</t>
  </si>
  <si>
    <t>2.22.31.</t>
  </si>
  <si>
    <t>Макет гранаты Ф-1</t>
  </si>
  <si>
    <t>2.22.32.</t>
  </si>
  <si>
    <t>Макет гранаты РГД-5</t>
  </si>
  <si>
    <t>2.22.33.</t>
  </si>
  <si>
    <t>Респиратор</t>
  </si>
  <si>
    <t>Лабораторно-технологическое оборудование для оказания первой помощи</t>
  </si>
  <si>
    <t>2.22.34.</t>
  </si>
  <si>
    <t>Дыхательная трубка (воздуховод)</t>
  </si>
  <si>
    <t>2.22.35.</t>
  </si>
  <si>
    <t>Гипотермический пакет</t>
  </si>
  <si>
    <t>2.22.36.</t>
  </si>
  <si>
    <t>2.22.37.</t>
  </si>
  <si>
    <t>Индивидуальный противохимический пакет</t>
  </si>
  <si>
    <t>2.22.38.</t>
  </si>
  <si>
    <t>Бинт марлевый медицинский нестерильный</t>
  </si>
  <si>
    <t>2.22.39.</t>
  </si>
  <si>
    <t>2.22.40.</t>
  </si>
  <si>
    <t>Вата медицинская компрессная</t>
  </si>
  <si>
    <t>2.22.41.</t>
  </si>
  <si>
    <t>Косынка медицинская (перевязочная)</t>
  </si>
  <si>
    <t>2.22.42.</t>
  </si>
  <si>
    <t>Повязка медицинская большая стерильная</t>
  </si>
  <si>
    <t>2.22.43.</t>
  </si>
  <si>
    <t>Повязка медицинская малая стерильная</t>
  </si>
  <si>
    <t>2.22.44.</t>
  </si>
  <si>
    <t>Булавка безопасная</t>
  </si>
  <si>
    <t>2.22.45.</t>
  </si>
  <si>
    <t>Жгут кровоостанавливающий эластичный</t>
  </si>
  <si>
    <t>2.22.46.</t>
  </si>
  <si>
    <t>Комплект шин складных средний</t>
  </si>
  <si>
    <t>2.22.47.</t>
  </si>
  <si>
    <t>Шина проволочная (лестничная) для ног</t>
  </si>
  <si>
    <t>2.22.48.</t>
  </si>
  <si>
    <t>Шина проволочная (лестничная) для рук</t>
  </si>
  <si>
    <t>2.22.49.</t>
  </si>
  <si>
    <t>Носилки санитарные</t>
  </si>
  <si>
    <t>2.22.50.</t>
  </si>
  <si>
    <t>Лямка медицинская носилочная</t>
  </si>
  <si>
    <t>2.22.51.</t>
  </si>
  <si>
    <t>Пипетка</t>
  </si>
  <si>
    <t>2.22.52.</t>
  </si>
  <si>
    <t>Коврик напольный</t>
  </si>
  <si>
    <t>2.22.53.</t>
  </si>
  <si>
    <t>Модели (объемные и плоские), натуральные объекты</t>
  </si>
  <si>
    <t>2.22.54.</t>
  </si>
  <si>
    <t>Комплект масса-габаритных моделей оружия</t>
  </si>
  <si>
    <t>2.22.55.</t>
  </si>
  <si>
    <t>Стрелковый тренажер</t>
  </si>
  <si>
    <t>2.22.56.</t>
  </si>
  <si>
    <t>Макет простейшего укрытия в разрезе</t>
  </si>
  <si>
    <t>2.22.57.</t>
  </si>
  <si>
    <t>Тренажер для оказания первой помощи на месте происшествия</t>
  </si>
  <si>
    <t>2.22.58.</t>
  </si>
  <si>
    <t>Имитаторы ранений и поражений для тренажера - манекена</t>
  </si>
  <si>
    <t>2.22.59.</t>
  </si>
  <si>
    <t>Тренажер для освоения навыков сердечно-легочной реанимации взрослого и ребенка</t>
  </si>
  <si>
    <t>2.22.60.</t>
  </si>
  <si>
    <t>2.22.61.</t>
  </si>
  <si>
    <t>Подраздел 23. Профильные классы</t>
  </si>
  <si>
    <t>Часть 1. Профильный инженерно-технологический класс</t>
  </si>
  <si>
    <t>2.23.1.</t>
  </si>
  <si>
    <t>2.23.2.</t>
  </si>
  <si>
    <t>2.23.3.</t>
  </si>
  <si>
    <t>2.23.4.</t>
  </si>
  <si>
    <t>2.23.5.</t>
  </si>
  <si>
    <t>2.23.6.</t>
  </si>
  <si>
    <t>2.23.7.</t>
  </si>
  <si>
    <t>2.23.8.</t>
  </si>
  <si>
    <t>2.23.9.</t>
  </si>
  <si>
    <t>2.23.10.</t>
  </si>
  <si>
    <t>Оборудование лаборатории</t>
  </si>
  <si>
    <t>2.23.11.</t>
  </si>
  <si>
    <t>2.23.12.</t>
  </si>
  <si>
    <t>2.23.13.</t>
  </si>
  <si>
    <t>Лаборатория инженерной графики</t>
  </si>
  <si>
    <t>2.23.14.</t>
  </si>
  <si>
    <t>Универсальная Интерактивная Система</t>
  </si>
  <si>
    <t>2.23.15.</t>
  </si>
  <si>
    <t>Компьютер учителя</t>
  </si>
  <si>
    <t>2.23.16.</t>
  </si>
  <si>
    <t>2.23.17.</t>
  </si>
  <si>
    <t>2.23.18.</t>
  </si>
  <si>
    <t>2.23.19.</t>
  </si>
  <si>
    <t>2.23.20.</t>
  </si>
  <si>
    <t>2.23.21.</t>
  </si>
  <si>
    <t>2.23.22.</t>
  </si>
  <si>
    <t>Специализированное программное обеспечение для работы с инженерной графикой</t>
  </si>
  <si>
    <t>2.23.23.</t>
  </si>
  <si>
    <t>Комплект учебно-методических материалов для педагога</t>
  </si>
  <si>
    <t>2.23.24.</t>
  </si>
  <si>
    <t>2.23.25.</t>
  </si>
  <si>
    <t>2.23.26.</t>
  </si>
  <si>
    <t>2.23.27.</t>
  </si>
  <si>
    <t>Комплект учебно-методических материалов для ученика</t>
  </si>
  <si>
    <t>Лаборатория 3D моделирования и прототипирования</t>
  </si>
  <si>
    <t>2.23.28.</t>
  </si>
  <si>
    <t>3D принтер профессионального качества</t>
  </si>
  <si>
    <t>2.23.29.</t>
  </si>
  <si>
    <t>Конструктор для сборки 3D принтера</t>
  </si>
  <si>
    <t>2.23.30.</t>
  </si>
  <si>
    <t>Комплект расходных материалов к 3D принтеру</t>
  </si>
  <si>
    <t>2.23.31.</t>
  </si>
  <si>
    <t>Конструктор для сборки 3D сканера</t>
  </si>
  <si>
    <t>2.23.32.</t>
  </si>
  <si>
    <t>Конструктор для сборки станков для механической обработки</t>
  </si>
  <si>
    <t>2.23.33.</t>
  </si>
  <si>
    <t>Программное обеспечение</t>
  </si>
  <si>
    <t>2.23.34.</t>
  </si>
  <si>
    <t>Комплект учебно-методических материалов</t>
  </si>
  <si>
    <t>Модуль автоматизированных технических систем</t>
  </si>
  <si>
    <t>Образовательный модуль для изучения основ робототехники. Творческое проектирование и соревновательная деятельность.</t>
  </si>
  <si>
    <t>2.23.35.</t>
  </si>
  <si>
    <t>2.23.36.</t>
  </si>
  <si>
    <t>Ресурсный набор к базовому робототехническому набору для подготовки к соревнованиям</t>
  </si>
  <si>
    <t>2.23.37.</t>
  </si>
  <si>
    <t>Комплект полей с соревновательными элементами</t>
  </si>
  <si>
    <t>2.23.38.</t>
  </si>
  <si>
    <t>2.23.39.</t>
  </si>
  <si>
    <t>Образовательный модуль для изучения основ робототехники. Конструирование. Электроника и микропроцессоры. Информационные системы и устройства.</t>
  </si>
  <si>
    <t>2.23.40.</t>
  </si>
  <si>
    <t>2.23.41.</t>
  </si>
  <si>
    <t>Программируемый контроллер</t>
  </si>
  <si>
    <t>2.23.42.</t>
  </si>
  <si>
    <t>Программируемый контроллер для изучения встраиваемых кибернетических систем</t>
  </si>
  <si>
    <t>2.23.43.</t>
  </si>
  <si>
    <t>2.23.44.</t>
  </si>
  <si>
    <t>Образовательный модуль для углубленного изучения робототехники. Системы управления робототехническими комплексами. Андроидные роботы</t>
  </si>
  <si>
    <t>2.23.45.</t>
  </si>
  <si>
    <t>2.23.46.</t>
  </si>
  <si>
    <t>Ресурсный робототехнический набор</t>
  </si>
  <si>
    <t>2.23.47.</t>
  </si>
  <si>
    <t>2.23.48.</t>
  </si>
  <si>
    <t>Образовательный модуль для углубленного изучения робототехники и подготовки к соревнованиям</t>
  </si>
  <si>
    <t>2.23.49.</t>
  </si>
  <si>
    <t>Расширенный робототехнический набор</t>
  </si>
  <si>
    <t>2.23.50.</t>
  </si>
  <si>
    <t>Комплект соревновательных элементов</t>
  </si>
  <si>
    <t>2.23.51.</t>
  </si>
  <si>
    <t>2.23.52.</t>
  </si>
  <si>
    <t>Образовательный модуль для углубленного изучения механики, мехатроники, систем автоматизированного управления и подготовки к участию в соревнованиях WorldSkills.</t>
  </si>
  <si>
    <t>2.23.53.</t>
  </si>
  <si>
    <t>2.23.54.</t>
  </si>
  <si>
    <t>Ресурсный набор к контроллеру</t>
  </si>
  <si>
    <t>2.23.55.</t>
  </si>
  <si>
    <t>Комплект учебно-методических материалов для работы с контроллером</t>
  </si>
  <si>
    <t>2.23.56.</t>
  </si>
  <si>
    <t>Универсальный комплект для организации командных и индивидуальных инженерных соревнований</t>
  </si>
  <si>
    <t>2.23.57.</t>
  </si>
  <si>
    <t>Ресурсный набор к универсальному комплекту для организации командных и индивидуальных инженерных соревнований</t>
  </si>
  <si>
    <t>2.23.58.</t>
  </si>
  <si>
    <t>Комплект учебно-методических материалов для организации командных и индивидуальных инженерных соревнований</t>
  </si>
  <si>
    <t>2.23.59.</t>
  </si>
  <si>
    <t>Лаборатория исследования окружающей среды, природных и искусственных материалов, альтернативных источников энергии, инженерных конструкций</t>
  </si>
  <si>
    <t>2.23.60.</t>
  </si>
  <si>
    <t>Цифровая лаборатория</t>
  </si>
  <si>
    <t>2.23.61.</t>
  </si>
  <si>
    <t>Набор по изучению альтернативных источников энергии</t>
  </si>
  <si>
    <t>2.23.62.</t>
  </si>
  <si>
    <t>Фермовые конструкции и разводные мосты</t>
  </si>
  <si>
    <t>2.23.63.</t>
  </si>
  <si>
    <t>Установка для изучения сопротивления материалов (напряжения и деформации)</t>
  </si>
  <si>
    <t>Оборудование лаборантской инженерного класса</t>
  </si>
  <si>
    <t>2.23.64.</t>
  </si>
  <si>
    <t>2.23.65.</t>
  </si>
  <si>
    <t>2.23.66.</t>
  </si>
  <si>
    <t>2.23.67.</t>
  </si>
  <si>
    <t>2.23.68.</t>
  </si>
  <si>
    <t>2.23.69.</t>
  </si>
  <si>
    <t>2.23.70.</t>
  </si>
  <si>
    <t>2.23.71.</t>
  </si>
  <si>
    <t>2.23.72.</t>
  </si>
  <si>
    <t>2.23.73.</t>
  </si>
  <si>
    <t>Стул поворотный с регулируемой высотой</t>
  </si>
  <si>
    <t>Часть 2. Профильный медико-биологический класс</t>
  </si>
  <si>
    <t>2.23.74.</t>
  </si>
  <si>
    <t>2.23.75.</t>
  </si>
  <si>
    <t>2.23.76.</t>
  </si>
  <si>
    <t>2.23.77.</t>
  </si>
  <si>
    <t>2.23.78.</t>
  </si>
  <si>
    <t>2.23.79.</t>
  </si>
  <si>
    <t>2.23.80.</t>
  </si>
  <si>
    <t>2.23.81.</t>
  </si>
  <si>
    <t>2.23.82.</t>
  </si>
  <si>
    <t>2.23.83.</t>
  </si>
  <si>
    <t>2.23.84.</t>
  </si>
  <si>
    <t>2.23.85.</t>
  </si>
  <si>
    <t>2.23.86.</t>
  </si>
  <si>
    <t>2.23.87.</t>
  </si>
  <si>
    <t>2.23.88.</t>
  </si>
  <si>
    <t>2.23.89.</t>
  </si>
  <si>
    <t>2.23.90.</t>
  </si>
  <si>
    <t>2.23.91.</t>
  </si>
  <si>
    <t>2.23.92.</t>
  </si>
  <si>
    <t>2.23.93.</t>
  </si>
  <si>
    <t>2.23.94.</t>
  </si>
  <si>
    <t>2.23.95.</t>
  </si>
  <si>
    <t>2.23.96.</t>
  </si>
  <si>
    <t>Трехмерный анатомический атлас</t>
  </si>
  <si>
    <t>2.23.97.</t>
  </si>
  <si>
    <t>Цифровая лаборатория по физиологии</t>
  </si>
  <si>
    <t>2.23.98.</t>
  </si>
  <si>
    <t>Цифровая лаборатория с Комплектом датчиков по экологии для реализации сети школьного экологического мониторинга</t>
  </si>
  <si>
    <t>2.23.99.</t>
  </si>
  <si>
    <t>Установка гидропонная</t>
  </si>
  <si>
    <t>2.23.100.</t>
  </si>
  <si>
    <t>Комплект микропрепаратов по ботанике (углубленный уровень)</t>
  </si>
  <si>
    <t>2.23.101.</t>
  </si>
  <si>
    <t>Комплект микропрепаратов по анатомии (углубленный уровень)</t>
  </si>
  <si>
    <t>2.23.102.</t>
  </si>
  <si>
    <t>Комплект микропрепаратов по зоологии (углубленный уровень)</t>
  </si>
  <si>
    <t>2.23.103.</t>
  </si>
  <si>
    <t>Комплект микропрепаратов по общей биологии (углубленный уровень)</t>
  </si>
  <si>
    <t>2.23.104.</t>
  </si>
  <si>
    <t>Микроскоп учебный монокулярный</t>
  </si>
  <si>
    <t>2.23.105.</t>
  </si>
  <si>
    <t>Микроскоп демонстрационный для проецирования демонстрационных лабораторных и практических работ по биологии на экране или интерактивной доске (триокулярный, план-ахромат)</t>
  </si>
  <si>
    <t>2.23.106.</t>
  </si>
  <si>
    <t>Цифровой микроскоп с жидкокристаллическим дисплеем</t>
  </si>
  <si>
    <t>2.23.107.</t>
  </si>
  <si>
    <t>Видеокамера для работы с оптическими приборами цифровая</t>
  </si>
  <si>
    <t>2.23.108.</t>
  </si>
  <si>
    <t>Вебкамера на подвижном штативе для проецирования демонстрационных лабораторных и практических работ по биологии на экране или интерактивной доске</t>
  </si>
  <si>
    <t>2.23.109.</t>
  </si>
  <si>
    <t>Иммуноферментный анализатор планшетный или стриповый</t>
  </si>
  <si>
    <t>2.23.110.</t>
  </si>
  <si>
    <t>Центрифуга для микропробирок</t>
  </si>
  <si>
    <t>2.23.111.</t>
  </si>
  <si>
    <t>Комплект для практических работ по фильтрации воды</t>
  </si>
  <si>
    <t>Лабораторно-технологическое оборудование (лабораторное оборудование в том числе посуда, приборы, наборы для эксперимента, инструменты)</t>
  </si>
  <si>
    <t>2.23.112.</t>
  </si>
  <si>
    <t>Тонометр медицинский электронный</t>
  </si>
  <si>
    <t>2.23.113.</t>
  </si>
  <si>
    <t>Тонометр медицинский механический</t>
  </si>
  <si>
    <t>2.23.114.</t>
  </si>
  <si>
    <t>Кардиограф</t>
  </si>
  <si>
    <t>2.23.115.</t>
  </si>
  <si>
    <t>Глюкометр</t>
  </si>
  <si>
    <t>2.23.116.</t>
  </si>
  <si>
    <t>Молоток неврологический</t>
  </si>
  <si>
    <t>2.23.117.</t>
  </si>
  <si>
    <t>Барометр</t>
  </si>
  <si>
    <t>2.23.118.</t>
  </si>
  <si>
    <t>Пипетка автоматическая</t>
  </si>
  <si>
    <t>2.23.119.</t>
  </si>
  <si>
    <t>Набор для проведения экспериментов по микробиологии</t>
  </si>
  <si>
    <t>2.23.120.</t>
  </si>
  <si>
    <t>Фонендоскоп</t>
  </si>
  <si>
    <t>2.23.121.</t>
  </si>
  <si>
    <t>Кушетка медицинская</t>
  </si>
  <si>
    <t>2.23.122.</t>
  </si>
  <si>
    <t>Стетоскоп консультативный</t>
  </si>
  <si>
    <t>2.23.123.</t>
  </si>
  <si>
    <t>Набор ершей для мытья лабораторной посуды</t>
  </si>
  <si>
    <t>2.23.124.</t>
  </si>
  <si>
    <t>Лоток для расположения инструментария (стандартный)</t>
  </si>
  <si>
    <t>2.23.125.</t>
  </si>
  <si>
    <t>Чашки Петри (стеклянные)</t>
  </si>
  <si>
    <t>2.23.126.</t>
  </si>
  <si>
    <t>Кружка Эсмарха</t>
  </si>
  <si>
    <t>2.23.127.</t>
  </si>
  <si>
    <t>Подушечка клеенчатая</t>
  </si>
  <si>
    <t>2.23.128.</t>
  </si>
  <si>
    <t>Корнцанги</t>
  </si>
  <si>
    <t>2.23.129.</t>
  </si>
  <si>
    <t>Негатоскоп</t>
  </si>
  <si>
    <t>2.23.130.</t>
  </si>
  <si>
    <t>Набор химической посуды и принадлежностей для демонстрации опытов и экспериментов по биологии</t>
  </si>
  <si>
    <t>2.23.131.</t>
  </si>
  <si>
    <t>Шпатели металлические</t>
  </si>
  <si>
    <t>2.23.132.</t>
  </si>
  <si>
    <t>2.23.133.</t>
  </si>
  <si>
    <t>Зажим для пробирок</t>
  </si>
  <si>
    <t>2.23.134.</t>
  </si>
  <si>
    <t>Набор пробирок</t>
  </si>
  <si>
    <t>2.23.135.</t>
  </si>
  <si>
    <t>2.23.136.</t>
  </si>
  <si>
    <t>2.23.137.</t>
  </si>
  <si>
    <t>Набор для препарирования</t>
  </si>
  <si>
    <t>2.23.138.</t>
  </si>
  <si>
    <t>2.23.139.</t>
  </si>
  <si>
    <t>2.23.140.</t>
  </si>
  <si>
    <t>2.23.141.</t>
  </si>
  <si>
    <t>Пробирки</t>
  </si>
  <si>
    <t>2.23.142.</t>
  </si>
  <si>
    <t>2.23.143.</t>
  </si>
  <si>
    <t>2.23.144.</t>
  </si>
  <si>
    <t>2.23.145.</t>
  </si>
  <si>
    <t>2.23.146.</t>
  </si>
  <si>
    <t>2.23.147.</t>
  </si>
  <si>
    <t>2.23.148.</t>
  </si>
  <si>
    <t>2.23.149.</t>
  </si>
  <si>
    <t>2.23.150.</t>
  </si>
  <si>
    <t>2.23.151.</t>
  </si>
  <si>
    <t>Банка-капельница полиэтиленовая</t>
  </si>
  <si>
    <t>2.23.152.</t>
  </si>
  <si>
    <t>Лоток раздаточный</t>
  </si>
  <si>
    <t>2.23.153.</t>
  </si>
  <si>
    <t>Лоток для хранения лабораторной посуды и принадлежностей</t>
  </si>
  <si>
    <t>2.23.154.</t>
  </si>
  <si>
    <t>Комплект самоклеящихся этикеток для химической посуды</t>
  </si>
  <si>
    <t>2.23.155.</t>
  </si>
  <si>
    <t>Модели (объемные и плоские), натуральные объекты (коллекции, химические реактивы)</t>
  </si>
  <si>
    <t>2.23.156.</t>
  </si>
  <si>
    <t>Тренажер-манекен по уходу за больным пациентом (Фантом человека)</t>
  </si>
  <si>
    <t>2.23.157.</t>
  </si>
  <si>
    <t>2.23.158.</t>
  </si>
  <si>
    <t>2.23.159.</t>
  </si>
  <si>
    <t>Электронные учебные средства для медико-биологического класса</t>
  </si>
  <si>
    <t>2.23.160.</t>
  </si>
  <si>
    <t>Комплект видеофильмов по биологии профильного уровня на DVD-дисках</t>
  </si>
  <si>
    <t>2.23.161.</t>
  </si>
  <si>
    <t>Комплект информационно справочной литературы для кабинета медико-биологического направления</t>
  </si>
  <si>
    <t>2.23.162.</t>
  </si>
  <si>
    <t>2.23.163.</t>
  </si>
  <si>
    <t>Комплект портретов Нобелевских лауреатов по биологии и химии</t>
  </si>
  <si>
    <t>2.23.164.</t>
  </si>
  <si>
    <t>Оборудование лаборантской медико-биологического класса</t>
  </si>
  <si>
    <t>2.23.165.</t>
  </si>
  <si>
    <t>2.23.166.</t>
  </si>
  <si>
    <t>2.23.167.</t>
  </si>
  <si>
    <t>2.23.168.</t>
  </si>
  <si>
    <t>2.23.169.</t>
  </si>
  <si>
    <t>2.23.170.</t>
  </si>
  <si>
    <t>2.23.171.</t>
  </si>
  <si>
    <t>2.23.172.</t>
  </si>
  <si>
    <t>2.23.173.</t>
  </si>
  <si>
    <t>2.23.174.</t>
  </si>
  <si>
    <t>2.23.175.</t>
  </si>
  <si>
    <t>2.23.176.</t>
  </si>
  <si>
    <t>2.23.177.</t>
  </si>
  <si>
    <t>2.23.178.</t>
  </si>
  <si>
    <t>2.23.179.</t>
  </si>
  <si>
    <t>2.23.180.</t>
  </si>
  <si>
    <t>Стерилизатор для лабораторной посуды воздушный</t>
  </si>
  <si>
    <t>2.23.181.</t>
  </si>
  <si>
    <t>2.23.182.</t>
  </si>
  <si>
    <t>Раздел 3. Комплекс лабораторий и студий для внеурочной деятельности</t>
  </si>
  <si>
    <t>Подраздел 1. Студия дизайна</t>
  </si>
  <si>
    <t>3.1.1.</t>
  </si>
  <si>
    <t>Мебель</t>
  </si>
  <si>
    <t>3.1.2.</t>
  </si>
  <si>
    <t>Интерактивное оборудование</t>
  </si>
  <si>
    <t>3.1.3.</t>
  </si>
  <si>
    <t>Компьютер</t>
  </si>
  <si>
    <t>3.1.4.</t>
  </si>
  <si>
    <t>Монитор широкоформатный</t>
  </si>
  <si>
    <t>3.1.5.</t>
  </si>
  <si>
    <t>Пакет графического программного обеспечения (Программное обеспечение для работы с растровой графикой и векторной графикой, фото и видеоматериалами)</t>
  </si>
  <si>
    <t>3.1.6.</t>
  </si>
  <si>
    <t>Струйный плоттер</t>
  </si>
  <si>
    <t>3.1.7.</t>
  </si>
  <si>
    <t>Графический планшет для рисования</t>
  </si>
  <si>
    <t>3.1.8.</t>
  </si>
  <si>
    <t>Настольный режущий плоттер</t>
  </si>
  <si>
    <t>3.1.9.</t>
  </si>
  <si>
    <t>Комплект оборудования для термопереноса на различные материалы и поверхности</t>
  </si>
  <si>
    <t>3.1.10.</t>
  </si>
  <si>
    <t>Рулонный режущий плоттер</t>
  </si>
  <si>
    <t>3.1.11.</t>
  </si>
  <si>
    <t>3.1.12.</t>
  </si>
  <si>
    <t>Подраздел 2. Издательский центр</t>
  </si>
  <si>
    <t>3.2.1.</t>
  </si>
  <si>
    <t>Цифровой множительный аппарат</t>
  </si>
  <si>
    <t>3.2.2.</t>
  </si>
  <si>
    <t>Гильотинный механический резак</t>
  </si>
  <si>
    <t>3.2.3.</t>
  </si>
  <si>
    <t>Устройство переплетное на пластик</t>
  </si>
  <si>
    <t>3.2.4.</t>
  </si>
  <si>
    <t>Ламинатор пакетный</t>
  </si>
  <si>
    <t>3.2.5.</t>
  </si>
  <si>
    <t>Степлер электрический</t>
  </si>
  <si>
    <t>3.2.6.</t>
  </si>
  <si>
    <t>Фальцовщик</t>
  </si>
  <si>
    <t>3.2.7.</t>
  </si>
  <si>
    <t>3.2.8.</t>
  </si>
  <si>
    <t>Термоклеевая машина</t>
  </si>
  <si>
    <t>3.2.9.</t>
  </si>
  <si>
    <t>Производительный компьютер</t>
  </si>
  <si>
    <t>3.2.10.</t>
  </si>
  <si>
    <t>Подраздел 3. Школьная телестудия</t>
  </si>
  <si>
    <t>3.3.1.</t>
  </si>
  <si>
    <t>3.3.2.</t>
  </si>
  <si>
    <t>Высокопроизводительный компьютер</t>
  </si>
  <si>
    <t>3.3.3.</t>
  </si>
  <si>
    <t>Видеокамера полупрофессиональная с телевизионным штативом</t>
  </si>
  <si>
    <t>3.3.4.</t>
  </si>
  <si>
    <t>Платы видеозахвата и вывода сигнала</t>
  </si>
  <si>
    <t>3.3.5.</t>
  </si>
  <si>
    <t>Программное обеспечение для кеинга и трансляции микшированных видеопотоков</t>
  </si>
  <si>
    <t>3.3.6.</t>
  </si>
  <si>
    <t>Осветительное оборудование и хромакейный фон</t>
  </si>
  <si>
    <t>3.3.7.</t>
  </si>
  <si>
    <t>Комплект коммутации</t>
  </si>
  <si>
    <t>3.3.8.</t>
  </si>
  <si>
    <t>Комплект кабелей и переходников для подключения и объединения всех элементов и оборудования видео-студии в единую функционирующую сеть телевещания</t>
  </si>
  <si>
    <t>3.3.9.</t>
  </si>
  <si>
    <t>Комплект учебных материалов</t>
  </si>
  <si>
    <t>3.3.10.</t>
  </si>
  <si>
    <t>Раздел 4. Комплекс оборудования для обучающихся с ОВЗ и инвалидностью*(4)</t>
  </si>
  <si>
    <t>Подраздел 1. Оборудование для обучающихся с нарушениями опорно-двигательного аппарата</t>
  </si>
  <si>
    <t>Входная зона и гардероб</t>
  </si>
  <si>
    <t>4.1.1.</t>
  </si>
  <si>
    <t>Кресло-коляска инвалидная</t>
  </si>
  <si>
    <t>4.1.2.</t>
  </si>
  <si>
    <t>Беспроводная система вызова помощника</t>
  </si>
  <si>
    <t>4.1.3.</t>
  </si>
  <si>
    <t>Алюминиевая полоса с резиновой вставкой</t>
  </si>
  <si>
    <t>4.1.4.</t>
  </si>
  <si>
    <t>Алюминиевый угол с резиновой вставкой</t>
  </si>
  <si>
    <t>4.1.5.</t>
  </si>
  <si>
    <t>Противоскользящее покрытие - антикаблук</t>
  </si>
  <si>
    <t>4.1.6.</t>
  </si>
  <si>
    <t>Противоскользящая полоса на самоклеящейся основе</t>
  </si>
  <si>
    <t>4.1.7.</t>
  </si>
  <si>
    <t>Самоклеящийся угол</t>
  </si>
  <si>
    <t>4.1.8.</t>
  </si>
  <si>
    <t>Наклейка противоскользящая полоса</t>
  </si>
  <si>
    <t>4.1.9.</t>
  </si>
  <si>
    <t>Единичные опорные поручни</t>
  </si>
  <si>
    <t>4.1.10.</t>
  </si>
  <si>
    <t>Скамейка для инвалидов</t>
  </si>
  <si>
    <t>4.1.11.</t>
  </si>
  <si>
    <t>Стол рабочий для учащихся с детским церебральным параличем, регулируемый по высоте</t>
  </si>
  <si>
    <t>4.1.12.</t>
  </si>
  <si>
    <t>Опора для сидения</t>
  </si>
  <si>
    <t>Предметные кабинеты</t>
  </si>
  <si>
    <t>4.1.13.</t>
  </si>
  <si>
    <t>Система удаленного телеприсутствия</t>
  </si>
  <si>
    <t>4.1.14.</t>
  </si>
  <si>
    <t>Клавиатура адаптированная беспроводная с большими кнопками и накладкой</t>
  </si>
  <si>
    <t>4.1.15.</t>
  </si>
  <si>
    <t>Джойстик компьютерный адаптированный беспроводной</t>
  </si>
  <si>
    <t>4.1.16.</t>
  </si>
  <si>
    <t>Кнопка компьютерная беспроводная адаптированная</t>
  </si>
  <si>
    <t>4.1.17.</t>
  </si>
  <si>
    <t>Ресивер 2 для беспроводной связи</t>
  </si>
  <si>
    <t>Санитарная комната</t>
  </si>
  <si>
    <t>4.1.18.</t>
  </si>
  <si>
    <t>Зеркало поворотное</t>
  </si>
  <si>
    <t>4.1.19.</t>
  </si>
  <si>
    <t>Мнемосхема санузла</t>
  </si>
  <si>
    <t>4.1.20.</t>
  </si>
  <si>
    <t>Крючок для костылей</t>
  </si>
  <si>
    <t>4.1.21.</t>
  </si>
  <si>
    <t>Система вызова помощника</t>
  </si>
  <si>
    <t>Подраздел 2. Оборудование для обучающихся с нарушениями слуха (глухие, слабослышащие и позднооглохшие обучающиеся)</t>
  </si>
  <si>
    <t>4.2.1.</t>
  </si>
  <si>
    <t>Бегущая строка</t>
  </si>
  <si>
    <t>4.2.2.</t>
  </si>
  <si>
    <t>Панель индукционная переносная</t>
  </si>
  <si>
    <t>4.2.3.</t>
  </si>
  <si>
    <t>Система информационная настенная</t>
  </si>
  <si>
    <t>4.2.4.</t>
  </si>
  <si>
    <t>Информационный терминал с сенсорным экраном</t>
  </si>
  <si>
    <t>Многофункциональный актовый зал</t>
  </si>
  <si>
    <t>4.2.5.</t>
  </si>
  <si>
    <t>Система информационная</t>
  </si>
  <si>
    <t>4.2.6.</t>
  </si>
  <si>
    <t>Инфракрасная акустическая система</t>
  </si>
  <si>
    <t>4.2.7.</t>
  </si>
  <si>
    <t>Слухоречевой тренажер для реабилитации в системе инклюзивного образования</t>
  </si>
  <si>
    <t>4.2.8.</t>
  </si>
  <si>
    <t>Звукоусиливающая аппаратура</t>
  </si>
  <si>
    <t>4.2.9.</t>
  </si>
  <si>
    <t>Микрофоны беспроводные</t>
  </si>
  <si>
    <t>4.2.10.</t>
  </si>
  <si>
    <t>Мощные звукоусиливающие колонки</t>
  </si>
  <si>
    <t>4.2.11.</t>
  </si>
  <si>
    <t>Переносной микшерный усилитель</t>
  </si>
  <si>
    <t>4.2.12.</t>
  </si>
  <si>
    <t>Проекционный экран рулонный настенный электрический</t>
  </si>
  <si>
    <t>4.2.13.</t>
  </si>
  <si>
    <t>4.2.14.</t>
  </si>
  <si>
    <t>Веб-камера на гибкой шее (стойке) с микрофоном</t>
  </si>
  <si>
    <t>4.2.15.</t>
  </si>
  <si>
    <t>Персональный компьютер</t>
  </si>
  <si>
    <t>4.2.16.</t>
  </si>
  <si>
    <t>Мультимедиапроектор с экраном или настенный монитор с большим экраном</t>
  </si>
  <si>
    <t>Столовая</t>
  </si>
  <si>
    <t>4.2.17.</t>
  </si>
  <si>
    <t>Звукоусиливающая аппаратура - индукционные системы</t>
  </si>
  <si>
    <t>4.2.18.</t>
  </si>
  <si>
    <t>Беспроводная звукоусиливающая аппаратура - Акустическая система (системы свободного звукового поля)</t>
  </si>
  <si>
    <t>Оборудование спортивного комплекса</t>
  </si>
  <si>
    <t>4.2.19.</t>
  </si>
  <si>
    <t>4.2.20.</t>
  </si>
  <si>
    <t>4.2.21.</t>
  </si>
  <si>
    <t>Беспроводная звукоусиливающая аппаратура - акустическая система (системы свободного звукового поля)</t>
  </si>
  <si>
    <t>4.2.22.</t>
  </si>
  <si>
    <t>4.2.23.</t>
  </si>
  <si>
    <t>4.2.24.</t>
  </si>
  <si>
    <t>4.2.25.</t>
  </si>
  <si>
    <t>Персональный компьютер, лицензионное программное обеспечение</t>
  </si>
  <si>
    <t>4.2.26.</t>
  </si>
  <si>
    <t>4.2.27.</t>
  </si>
  <si>
    <t>Микшерный усилитель</t>
  </si>
  <si>
    <t>Коридоры и рекреации</t>
  </si>
  <si>
    <t>4.2.28.</t>
  </si>
  <si>
    <t>4.2.29.</t>
  </si>
  <si>
    <t>4.2.30.</t>
  </si>
  <si>
    <t>Учительская</t>
  </si>
  <si>
    <t>4.2.31.</t>
  </si>
  <si>
    <t>4.2.32.</t>
  </si>
  <si>
    <t>Цветное или черно-белое многофункциональное устройство</t>
  </si>
  <si>
    <t>4.2.33.</t>
  </si>
  <si>
    <t>4.2.34.</t>
  </si>
  <si>
    <t>4.2.35.</t>
  </si>
  <si>
    <t>Звукоусиливающая аппаратура коллективного пользования</t>
  </si>
  <si>
    <t>4.2.36.</t>
  </si>
  <si>
    <t>Беспроводная звукоусиливающая аппаратура коллективного пользования, работающая в FM режиме (радиокласс, FM-система) для инклюзивного образования</t>
  </si>
  <si>
    <t>4.2.37.</t>
  </si>
  <si>
    <t>4.2.38.</t>
  </si>
  <si>
    <t>Аудиокласс</t>
  </si>
  <si>
    <t>4.2.39.</t>
  </si>
  <si>
    <t>Звукоизоляция кабинетов для индивидуальных коррекционных занятий</t>
  </si>
  <si>
    <t>4.2.40.</t>
  </si>
  <si>
    <t>4.2.41.</t>
  </si>
  <si>
    <t>Звукоусиливающая стационарная проводная аппаратура индивидуального пользования (слухоречевой тренажер) для проведения индивидуальных коррекционных занятий</t>
  </si>
  <si>
    <t>4.2.42.</t>
  </si>
  <si>
    <t>Специальные визуальные приборы, способствующие работе над произносительной стороной речи</t>
  </si>
  <si>
    <t>4.2.43.</t>
  </si>
  <si>
    <t>Звукопроницаемый экран преподавателя</t>
  </si>
  <si>
    <t>4.2.44.</t>
  </si>
  <si>
    <t>Логопедические зонды</t>
  </si>
  <si>
    <t>4.2.45.</t>
  </si>
  <si>
    <t>Зеркало</t>
  </si>
  <si>
    <t>4.2.46.</t>
  </si>
  <si>
    <t>Муляж артикуляционного аппарата</t>
  </si>
  <si>
    <t>4.2.47.</t>
  </si>
  <si>
    <t>4.2.48.</t>
  </si>
  <si>
    <t>4.2.49.</t>
  </si>
  <si>
    <t>4.2.50.</t>
  </si>
  <si>
    <t>4.2.51.</t>
  </si>
  <si>
    <t>4.2.52.</t>
  </si>
  <si>
    <t>4.2.53.</t>
  </si>
  <si>
    <t>Набор звукозаписей</t>
  </si>
  <si>
    <t>4.2.54.</t>
  </si>
  <si>
    <t>Набор звучащих игрушек</t>
  </si>
  <si>
    <t>4.2.55.</t>
  </si>
  <si>
    <t>Набор музыкальных инструментов</t>
  </si>
  <si>
    <t>Кабинет учителя-логопеда</t>
  </si>
  <si>
    <t>4.2.56.</t>
  </si>
  <si>
    <t>4.2.57.</t>
  </si>
  <si>
    <t>4.2.58.</t>
  </si>
  <si>
    <t>Игровая в начальной школе</t>
  </si>
  <si>
    <t>4.2.59.</t>
  </si>
  <si>
    <t>Спортивное полотно по типу гусеницы</t>
  </si>
  <si>
    <t>Подраздел 3. Оборудование для слепых и слабовидящих обучающихся</t>
  </si>
  <si>
    <t>4.3.1.</t>
  </si>
  <si>
    <t>Система ориентиров</t>
  </si>
  <si>
    <t>4.3.2.</t>
  </si>
  <si>
    <t>Звуковой маяк с беспроводной кнопкой активации</t>
  </si>
  <si>
    <t>4.3.3.</t>
  </si>
  <si>
    <t>Мнемосхема</t>
  </si>
  <si>
    <t>4.3.4.</t>
  </si>
  <si>
    <t>Информационно-тактильный знак</t>
  </si>
  <si>
    <t>4.3.5.</t>
  </si>
  <si>
    <t>Наклейка информационная</t>
  </si>
  <si>
    <t>4.3.6.</t>
  </si>
  <si>
    <t>Тактильная рельефная напольная плитка для оснащения путей движения и предупреждения о препятствиях</t>
  </si>
  <si>
    <t>4.3.7.</t>
  </si>
  <si>
    <t>Тактильные знаки</t>
  </si>
  <si>
    <t>4.3.8.</t>
  </si>
  <si>
    <t>Наклейка на поручень (Брайль) тактильная</t>
  </si>
  <si>
    <t>Библиотека</t>
  </si>
  <si>
    <t>4.3.9.</t>
  </si>
  <si>
    <t>Читающее устройство для чтения плоскопечатной информации и информации, представленной в электронном виде, оснащенное камерой</t>
  </si>
  <si>
    <t>4.3.10.</t>
  </si>
  <si>
    <t>Учебники, изданные рельефно-точечным шрифтом Брайля по всем образовательным ступеням, дополненные рельефно-графическим материалом</t>
  </si>
  <si>
    <t>4.3.11.</t>
  </si>
  <si>
    <t>Художественная литература в аудиоформатах и отпечатанная рельефно-точечным шрифтом</t>
  </si>
  <si>
    <t>4.3.12.</t>
  </si>
  <si>
    <t>Видеоувеличители стационарный и портативный</t>
  </si>
  <si>
    <t>4.3.13.</t>
  </si>
  <si>
    <t>Компьютер с установленным специализированным программным обеспечением для слепых и слабовидящих</t>
  </si>
  <si>
    <t>4.3.14.</t>
  </si>
  <si>
    <t>Устройство для сканирования</t>
  </si>
  <si>
    <t>4.3.15.</t>
  </si>
  <si>
    <t>Программное обеспечение для распознавания отсканированных текстов</t>
  </si>
  <si>
    <t>4.3.16.</t>
  </si>
  <si>
    <t>Эллиптический тренажер, беговая дорожка с речевым выходом</t>
  </si>
  <si>
    <t>4.3.17.</t>
  </si>
  <si>
    <t>Велотандем</t>
  </si>
  <si>
    <t>4.3.18.</t>
  </si>
  <si>
    <t>Звуковые маячки</t>
  </si>
  <si>
    <t>4.3.19.</t>
  </si>
  <si>
    <t>Сетка-ворота</t>
  </si>
  <si>
    <t>4.3.20.</t>
  </si>
  <si>
    <t>Набор для гимнастических упражнений и игр</t>
  </si>
  <si>
    <t>4.3.21.</t>
  </si>
  <si>
    <t>Воздушный балансир</t>
  </si>
  <si>
    <t>4.3.22.</t>
  </si>
  <si>
    <t>Тренажер - карусель</t>
  </si>
  <si>
    <t>4.3.23.</t>
  </si>
  <si>
    <t>Набор сменных дисков</t>
  </si>
  <si>
    <t>4.3.24.</t>
  </si>
  <si>
    <t>Надувной кубик</t>
  </si>
  <si>
    <t>4.3.25.</t>
  </si>
  <si>
    <t>Мяч с ячейками</t>
  </si>
  <si>
    <t>4.3.26.</t>
  </si>
  <si>
    <t>Тренажер для ног</t>
  </si>
  <si>
    <t>4.3.27.</t>
  </si>
  <si>
    <t>Тренажер-балансир</t>
  </si>
  <si>
    <t>4.3.28.</t>
  </si>
  <si>
    <t>Поручень для тренажера - балансира</t>
  </si>
  <si>
    <t>4.3.29.</t>
  </si>
  <si>
    <t>Тренажер для функциональной подготовки и гимнастики</t>
  </si>
  <si>
    <t>4.3.30.</t>
  </si>
  <si>
    <t>Резиновые диски с числовой маркировкой</t>
  </si>
  <si>
    <t>4.3.31.</t>
  </si>
  <si>
    <t>Медицинский мяч с рукояткой</t>
  </si>
  <si>
    <t>4.3.32.</t>
  </si>
  <si>
    <t>Качели-скорлупа</t>
  </si>
  <si>
    <t>4.3.33.</t>
  </si>
  <si>
    <t>Тренажер лестница</t>
  </si>
  <si>
    <t>4.3.34.</t>
  </si>
  <si>
    <t>Универсальная качалка</t>
  </si>
  <si>
    <t>4.3.35.</t>
  </si>
  <si>
    <t>Массажные валики</t>
  </si>
  <si>
    <t>4.3.36.</t>
  </si>
  <si>
    <t>Игра балансир</t>
  </si>
  <si>
    <t>4.3.37.</t>
  </si>
  <si>
    <t>Футбольный мяч звенящий</t>
  </si>
  <si>
    <t>4.3.38.</t>
  </si>
  <si>
    <t>Мяч баскетбольный, звенящий</t>
  </si>
  <si>
    <t>4.3.39.</t>
  </si>
  <si>
    <t>Мяч волейбольный, звенящий</t>
  </si>
  <si>
    <t>4.3.40.</t>
  </si>
  <si>
    <t>Мяч для игры в шоудаун</t>
  </si>
  <si>
    <t>4.3.41.</t>
  </si>
  <si>
    <t>Мяч для игры в торбол звенящий</t>
  </si>
  <si>
    <t>4.3.42.</t>
  </si>
  <si>
    <t>Шашки тактильные</t>
  </si>
  <si>
    <t>4.3.43.</t>
  </si>
  <si>
    <t>Текстурированное домино</t>
  </si>
  <si>
    <t>4.3.44.</t>
  </si>
  <si>
    <t>Шахматы тактильные</t>
  </si>
  <si>
    <t>4.3.45.</t>
  </si>
  <si>
    <t>Часы шахматные говорящие со шрифтом Брайля</t>
  </si>
  <si>
    <t>4.3.46.</t>
  </si>
  <si>
    <t>Домино с выпуклыми точками</t>
  </si>
  <si>
    <t>4.3.47.</t>
  </si>
  <si>
    <t>Устройство для создания тактильной графики (рельефных изображений)</t>
  </si>
  <si>
    <t>4.3.48.</t>
  </si>
  <si>
    <t>Устройство рельефной печати текстовой и графической информации (универсальный брайлевский принтер)</t>
  </si>
  <si>
    <t>4.3.49.</t>
  </si>
  <si>
    <t>Программа для подготовки текстов к печати рельефно-точечным шрифтом Брайля</t>
  </si>
  <si>
    <t>4.3.50.</t>
  </si>
  <si>
    <t>Брайлевская печатная машинка</t>
  </si>
  <si>
    <t>4.3.51.</t>
  </si>
  <si>
    <t>Тактильный (брайлевский) дисплей</t>
  </si>
  <si>
    <t>4.3.52.</t>
  </si>
  <si>
    <t>Программа невизуального доступа к информации на индивидуальном планшете с поддержкой тактильного (брайлевского) дисплея</t>
  </si>
  <si>
    <t>4.3.53.</t>
  </si>
  <si>
    <t>Индивидуальный Комплект для письма по Брайлю</t>
  </si>
  <si>
    <t>4.3.54.</t>
  </si>
  <si>
    <t>Набор тематических рельефно-графических пособий по различным предметным областям</t>
  </si>
  <si>
    <t>4.3.55.</t>
  </si>
  <si>
    <t>Тетрадь для письма по Брайлю</t>
  </si>
  <si>
    <t>4.3.56.</t>
  </si>
  <si>
    <t>Специальная бумага для письма и печати по Брайлю</t>
  </si>
  <si>
    <t>4.3.57.</t>
  </si>
  <si>
    <t>Тетрадь для слабовидящих в одну горизонтальную линию с увеличенным интервалом</t>
  </si>
  <si>
    <t>4.3.58.</t>
  </si>
  <si>
    <t>Тетрадь для слабовидящих в крупную клетку</t>
  </si>
  <si>
    <t>4.3.59.</t>
  </si>
  <si>
    <t>Письменные принадлежности для письма по Брайлю и по Гебольдту</t>
  </si>
  <si>
    <t>4.3.60.</t>
  </si>
  <si>
    <t>Прибор 18-строчный для письма по Брайлю</t>
  </si>
  <si>
    <t>4.3.61.</t>
  </si>
  <si>
    <t>4.3.62.</t>
  </si>
  <si>
    <t>Конструктор для создания рельефных графиков, схем, планов</t>
  </si>
  <si>
    <t>4.3.63.</t>
  </si>
  <si>
    <t>Тактильные метки "точки" для адаптации учебных приборов для слепых</t>
  </si>
  <si>
    <t>4.3.64.</t>
  </si>
  <si>
    <t>Тактильный глобус</t>
  </si>
  <si>
    <t>4.3.65.</t>
  </si>
  <si>
    <t>Прибор для маркировки предметов</t>
  </si>
  <si>
    <t>4.3.66.</t>
  </si>
  <si>
    <t>Лента для маркировки предметов для прибора-маркировщика</t>
  </si>
  <si>
    <t>4.3.67.</t>
  </si>
  <si>
    <t>Рельефно-графические альбомы</t>
  </si>
  <si>
    <t>4.3.68.</t>
  </si>
  <si>
    <t>4.3.69.</t>
  </si>
  <si>
    <t>4.3.70.</t>
  </si>
  <si>
    <t>Рельефообразующая бумага для получения рельефных изображений</t>
  </si>
  <si>
    <t>4.3.71.</t>
  </si>
  <si>
    <t>Портативное устройство для чтения</t>
  </si>
  <si>
    <t>4.3.72.</t>
  </si>
  <si>
    <t>Устройство, предназначенное для пользователей с полной или частичной потерей зрения, а также одновременной потерей зрения и слуха</t>
  </si>
  <si>
    <t>4.3.73.</t>
  </si>
  <si>
    <t>Персональный ноутбук или планшет с установленным программным обеспечением</t>
  </si>
  <si>
    <t>4.3.74.</t>
  </si>
  <si>
    <t>Компьютер для слепых и слабовидящих</t>
  </si>
  <si>
    <t>4.3.75.</t>
  </si>
  <si>
    <t>Специализированный плеер-диктофон</t>
  </si>
  <si>
    <t>4.3.76.</t>
  </si>
  <si>
    <t>4.3.77.</t>
  </si>
  <si>
    <t>Специализированное ПО для незрячих, установленное на ноутбук учителя или стационарный компьютер</t>
  </si>
  <si>
    <t>4.3.78.</t>
  </si>
  <si>
    <t>4.3.79.</t>
  </si>
  <si>
    <t>Программа экранного доступа и увеличения</t>
  </si>
  <si>
    <t>4.3.80.</t>
  </si>
  <si>
    <t>4.3.81.</t>
  </si>
  <si>
    <t>4.3.82.</t>
  </si>
  <si>
    <t>Читающая машина</t>
  </si>
  <si>
    <t>4.3.83.</t>
  </si>
  <si>
    <t>Портативный тифлоплеер</t>
  </si>
  <si>
    <t>4.3.84.</t>
  </si>
  <si>
    <t>Кабинет начальной школы</t>
  </si>
  <si>
    <t>4.3.85.</t>
  </si>
  <si>
    <t>Разборная азбука-колодка по брайлю для изучения новых знаков</t>
  </si>
  <si>
    <t>4.3.86.</t>
  </si>
  <si>
    <t>Кубик-буква брайлевский</t>
  </si>
  <si>
    <t>4.3.87.</t>
  </si>
  <si>
    <t>Предметная область "Филология"</t>
  </si>
  <si>
    <t>4.3.88.</t>
  </si>
  <si>
    <t>4.3.89.</t>
  </si>
  <si>
    <t>4.3.90.</t>
  </si>
  <si>
    <t>Индивидуальный Комплект для построения чертежей, математических построений, тифлографики</t>
  </si>
  <si>
    <t>4.3.91.</t>
  </si>
  <si>
    <t>Рельефно-графические материалы по математике</t>
  </si>
  <si>
    <t>Кабинет истории и обществознания</t>
  </si>
  <si>
    <t>4.3.92.</t>
  </si>
  <si>
    <t>Рельефно-графические материалы по истории</t>
  </si>
  <si>
    <t>Кабинет географии</t>
  </si>
  <si>
    <t>4.3.93.</t>
  </si>
  <si>
    <t>Рельефно-графические материалы по географии</t>
  </si>
  <si>
    <t>Кабинет изобразительного искусства</t>
  </si>
  <si>
    <t>4.3.94.</t>
  </si>
  <si>
    <t>Листы для рисования для планшета</t>
  </si>
  <si>
    <t>Кабинет физики</t>
  </si>
  <si>
    <t>4.3.95.</t>
  </si>
  <si>
    <t>Рельефно-графические материалы по физике</t>
  </si>
  <si>
    <t>Кабинет химии</t>
  </si>
  <si>
    <t>4.3.96.</t>
  </si>
  <si>
    <t>Рельефно-графические материалы по химии</t>
  </si>
  <si>
    <t>Кабинет биологии и экологии</t>
  </si>
  <si>
    <t>4.3.97.</t>
  </si>
  <si>
    <t>Рельефно-графические материалы по биологии</t>
  </si>
  <si>
    <t>Кабинет математики</t>
  </si>
  <si>
    <t>4.3.98.</t>
  </si>
  <si>
    <t>4.3.99.</t>
  </si>
  <si>
    <t>4.3.100.</t>
  </si>
  <si>
    <t>Говорящий электронный калькулятор</t>
  </si>
  <si>
    <t>Кабинет технологии и социально-бытовой ориентировки</t>
  </si>
  <si>
    <t>4.3.101.</t>
  </si>
  <si>
    <t>Дозаторы для слепых</t>
  </si>
  <si>
    <t>4.3.102.</t>
  </si>
  <si>
    <t>Кухонные весы для слепых с синтезатором русской речи</t>
  </si>
  <si>
    <t>4.3.103.</t>
  </si>
  <si>
    <t>Индикатор-определитель цвета</t>
  </si>
  <si>
    <t>4.3.104.</t>
  </si>
  <si>
    <t>Индикатор уровня жидкости звуковой и звуковой вибрационный</t>
  </si>
  <si>
    <t>4.3.105.</t>
  </si>
  <si>
    <t>Говорящие этикетки на магнитах</t>
  </si>
  <si>
    <t>4.3.106.</t>
  </si>
  <si>
    <t>Цифровой маркер-диктофон для слепых</t>
  </si>
  <si>
    <t>4.3.107.</t>
  </si>
  <si>
    <t>Тактильные часы для слепых</t>
  </si>
  <si>
    <t>4.3.108.</t>
  </si>
  <si>
    <t>Мера портновская с рельефными делениями</t>
  </si>
  <si>
    <t>4.3.109.</t>
  </si>
  <si>
    <t>Тактильные метки для адаптации бытовых и учебных приборов для слепых</t>
  </si>
  <si>
    <t>4.3.110.</t>
  </si>
  <si>
    <t>Бытовые весы для слепых с синтезатором русской речи</t>
  </si>
  <si>
    <t>4.3.111.</t>
  </si>
  <si>
    <t>Иглы портновские для слепых и слабовидящих</t>
  </si>
  <si>
    <t>4.3.112.</t>
  </si>
  <si>
    <t>Кухонный нож-дозатор</t>
  </si>
  <si>
    <t>4.3.113.</t>
  </si>
  <si>
    <t>Таймер тактильный кухонный</t>
  </si>
  <si>
    <t>Издательский центр</t>
  </si>
  <si>
    <t>4.3.114.</t>
  </si>
  <si>
    <t>Комплект сменных печатающих головок</t>
  </si>
  <si>
    <t>4.3.115.</t>
  </si>
  <si>
    <t>Брайлевская бумага</t>
  </si>
  <si>
    <t>4.3.116.</t>
  </si>
  <si>
    <t>Рабочее место незрячего редактора</t>
  </si>
  <si>
    <t>4.3.117.</t>
  </si>
  <si>
    <t>Принтер 3D и Комплектующие</t>
  </si>
  <si>
    <t>4.3.118.</t>
  </si>
  <si>
    <t>4.3.119.</t>
  </si>
  <si>
    <t>4.3.120.</t>
  </si>
  <si>
    <t>Высокопроизводительный принтер рельефно-точечной печати</t>
  </si>
  <si>
    <t xml:space="preserve">Нормы расхода оборудования при оказании муниципальных  услуг в области образования общеобразовательными муниципальными учреждениями г.Долгопрудного </t>
  </si>
  <si>
    <t>Наименование расходного материалаи</t>
  </si>
  <si>
    <t>на 1 класс в год, шт.</t>
  </si>
  <si>
    <t>на 1 класс , шт.</t>
  </si>
  <si>
    <t>на 1 учащегося в год,шт.</t>
  </si>
  <si>
    <t>Стол четырёхместный</t>
  </si>
  <si>
    <t>срок полезного действия, лет.</t>
  </si>
  <si>
    <t>Стол воспитателя</t>
  </si>
  <si>
    <t>Стол воспиталя приставной</t>
  </si>
  <si>
    <t>Кресло для воспитателя</t>
  </si>
  <si>
    <t>Шкаф для хранения игрушек</t>
  </si>
  <si>
    <t>Шкафчик для одежды</t>
  </si>
  <si>
    <t>Комплект кухонной мебели для группы</t>
  </si>
  <si>
    <t>на 1 группу , шт.</t>
  </si>
  <si>
    <t>на 1 воспитанника в год,шт.</t>
  </si>
  <si>
    <t>Кровать детская</t>
  </si>
  <si>
    <t xml:space="preserve">Нормы расхода оборудования при оказании муниципальных  услуг в области образования дошкольными муниципальными учреждениями г.Долгопрудного </t>
  </si>
  <si>
    <t xml:space="preserve">Нормы расхода оборудования при оказании муниципальных  услуг в области образования  муниципальными учреждениями дополнительного образования спортивной направленностиг.Долгопрудного </t>
  </si>
  <si>
    <t xml:space="preserve">Нормы расхода оборудования при оказании муниципальных  услуг в области образования муниципальными учреждениями дополнительного образования г.Долгопрудного </t>
  </si>
  <si>
    <t>на 1 группу в год, шт.</t>
  </si>
  <si>
    <t xml:space="preserve">Нормы расхода посуды при оказании муниципальных  услуг в области образования общеобразовательными и дошкольными муниципальными учреждениями г.Долгопрудного </t>
  </si>
  <si>
    <t>на 1 учащегося (воспитанника) , шт.</t>
  </si>
  <si>
    <t>Тарелка суповая</t>
  </si>
  <si>
    <t>Тарелка для вторых блюд</t>
  </si>
  <si>
    <t>Тарелка дисертная</t>
  </si>
  <si>
    <t>Блюдце</t>
  </si>
  <si>
    <t>Ложка (нерж.сталь)</t>
  </si>
  <si>
    <t>Вилка (нерж.сталь)</t>
  </si>
  <si>
    <t>на 1 учащегося (воспитанника) в год,шт.</t>
  </si>
  <si>
    <t>Чашка (стакан)</t>
  </si>
  <si>
    <t xml:space="preserve">Нормы комплектации изделиями медицинского назначения аптечек для оказания первой помощи работникам при оказании муниципальных  услуг в области образования муниципальными учреждениями г.Долгопрудного </t>
  </si>
  <si>
    <t>Нормативный документ</t>
  </si>
  <si>
    <t>Форма выпуска (размеры)</t>
  </si>
  <si>
    <t>Изделия медицинского назначения для временной остановки наружнего кротечения и перевязки ран</t>
  </si>
  <si>
    <t>Жгут кровоостанавливающий</t>
  </si>
  <si>
    <t>Бинт марлевый медицинский стерильный</t>
  </si>
  <si>
    <t>Пакет перевязочный медицинский индивидуальный стерильный с герметичной оболочкой</t>
  </si>
  <si>
    <t>Салфетки марлевые медицинские стерильные</t>
  </si>
  <si>
    <t>Лейкопластырь бактерицидный</t>
  </si>
  <si>
    <t>Лейкопластырь рулонный</t>
  </si>
  <si>
    <t>Изделия медицинского назначения для проведения сердечно-легочной реанимации</t>
  </si>
  <si>
    <t>Устройство для проведения искусственного дыхания "Рот-Устройство-Рот" или карманная маска для искусственной вентиляции легких "Рот-маска"</t>
  </si>
  <si>
    <t>Прочие изделия медицинского назначения</t>
  </si>
  <si>
    <t>Ножницы для разрезания повязок по Листеру</t>
  </si>
  <si>
    <t>Салфетки антисептические из бумажного текстилеподобного материала стерильные спиртовые</t>
  </si>
  <si>
    <t>Перчатки медицинские нестерильные, смотровые</t>
  </si>
  <si>
    <t>Маска медицинская нестерильная 3-слойная из нетканого материала с резинками или с завязками</t>
  </si>
  <si>
    <t>Покрывало спасательное изотермическое</t>
  </si>
  <si>
    <t>Прочие средства</t>
  </si>
  <si>
    <t>Английские булавки стальные со спиралью</t>
  </si>
  <si>
    <t>Рекомендации с пиктограммами по использованию изделий медицинского назначения аптечки для оказания первой помощи работникам</t>
  </si>
  <si>
    <t>Футляр или сумка санитарная</t>
  </si>
  <si>
    <t>Блокнот отрывной для записей</t>
  </si>
  <si>
    <t>Авторучка</t>
  </si>
  <si>
    <t>ГОСТ Р ИСО 10993-99&lt;1&gt;</t>
  </si>
  <si>
    <t>ГОСТ 1172-93&lt;2&gt;</t>
  </si>
  <si>
    <t>ГОСТ 1172-93&lt;3&gt;</t>
  </si>
  <si>
    <t>ГОСТ 16427-93&lt;4&gt;</t>
  </si>
  <si>
    <t>ГОСТ Р ИСО 10993-99</t>
  </si>
  <si>
    <t>ГОСТ 1172-93</t>
  </si>
  <si>
    <t>уп.</t>
  </si>
  <si>
    <t>5м х 5см</t>
  </si>
  <si>
    <t>5м х 10см</t>
  </si>
  <si>
    <t>7м х 14см</t>
  </si>
  <si>
    <t>5м х 7см</t>
  </si>
  <si>
    <t>ГОСТ 21239-93 (ИСО 7741-86) &lt;5&gt;</t>
  </si>
  <si>
    <t>пары</t>
  </si>
  <si>
    <t>ГОСТ Р ИСО 10993-99, ГОСТ Р 50444-92</t>
  </si>
  <si>
    <t>ГОСТ Р ИСО 10993-99, ГОСТ Р 52238-2004 &lt;6&gt;, ГОСТ Р 52239-2004 &lt;7&gt;,  ГОСТ 3-88 &lt;8&gt;</t>
  </si>
  <si>
    <t>ГОСТ 9389-75 &lt;9&gt;</t>
  </si>
  <si>
    <t>ГОСТ 18510-87 &lt;10&gt;</t>
  </si>
  <si>
    <t>ГОСТ 28937-91  &lt;11&gt;</t>
  </si>
  <si>
    <t xml:space="preserve">Нормы проезда общественным транспортом педагогических работников при оказании муниципальных  услуг в области образования муниципальными учреждениями г.Долгопрудного </t>
  </si>
  <si>
    <t>Наименование вида общественного транспорта</t>
  </si>
  <si>
    <t>Электричка (от платфомы Долгопрудная до платформы Лианозово )</t>
  </si>
  <si>
    <t>Автобус (от платформы Лианозово до ул. Староватутинская )</t>
  </si>
  <si>
    <t>Количество поездок в день на 1 педагогического работника в день</t>
  </si>
  <si>
    <t>Количество дней поездок для прохождения курсов</t>
  </si>
  <si>
    <t>Периодичность прохождения курсов на 1 педагогического работника 1 раз в , лет</t>
  </si>
  <si>
    <t>Количество поездок на 1 педагогического работника,поездок в год</t>
  </si>
  <si>
    <t>Не менее формат А7</t>
  </si>
  <si>
    <t>Не менее 38 мм</t>
  </si>
  <si>
    <t>Не менее 160 х 210 см</t>
  </si>
  <si>
    <t>Не менее М</t>
  </si>
  <si>
    <t>Не менее 12,5 х 11,0 см</t>
  </si>
  <si>
    <t>Не менее 16см х 14см №10</t>
  </si>
  <si>
    <t xml:space="preserve">Не менее 4см х 10см </t>
  </si>
  <si>
    <t xml:space="preserve">Не менее 1,9см х 7,2см </t>
  </si>
  <si>
    <t xml:space="preserve">Не менее 1см х 250см </t>
  </si>
  <si>
    <t>Норматив,руб.</t>
  </si>
  <si>
    <t>на 1 место в саду в год</t>
  </si>
  <si>
    <t>на 1 место в яслях в год</t>
  </si>
  <si>
    <t>Норматив стоимости мягкого инвентаря, руб.</t>
  </si>
  <si>
    <t>Итого</t>
  </si>
  <si>
    <t>Норматив стоимости на 1 чел. в год., руб.</t>
  </si>
  <si>
    <t>Норматив стоимости, руб. в год на 1 учащегося(воспитанника)</t>
  </si>
  <si>
    <t>Норматив стоимости на 1 педагогического работника,поездок в год</t>
  </si>
  <si>
    <t xml:space="preserve">Норматив стоимости проезда общественным транспортом педагогических работников при оказании муниципальных  услуг в области образования муниципальными учреждениями г.Долгопрудного </t>
  </si>
  <si>
    <t xml:space="preserve">Норматив стоимости вывоза твердых бытовых отходов при оказании муниципальных  услуг в области образования муниципальными учреждениями г.Долгопрудного </t>
  </si>
  <si>
    <t xml:space="preserve">Норматив стоимости потребления мягкого инвентаря на оказание муниципальных  услуг в области образования муниципальными учреждениями г.Долгопрудного </t>
  </si>
  <si>
    <t xml:space="preserve">Норматив стоимости потребления продуктов питания на оказание муниципальных   услуг в области образования муниципальными учреждениями г.Долгопрудного </t>
  </si>
  <si>
    <t>Норматив стоимости на 1 организацию в год, руб.</t>
  </si>
  <si>
    <t xml:space="preserve">Норматив стоимости комплектации изделиями медицинского назначения аптечек для оказания первой помощи работникам при оказании муниципальных  услуг в области образования муниципальными учреждениями г.Долгопрудного </t>
  </si>
  <si>
    <t>Норматив стоимости на 1 учащего (воспитанника) в год, руб.</t>
  </si>
  <si>
    <t>Норматив стоимости на 1 учащегося в год., руб.</t>
  </si>
  <si>
    <t>Всего</t>
  </si>
  <si>
    <t xml:space="preserve">Норматив стоимости оборудования при оказании муниципальных  услуг в области образования муниципальными учреждениями дополнительного образования г.Долгопрудного </t>
  </si>
  <si>
    <t>Наименование норматива расхода</t>
  </si>
  <si>
    <t>Норматив стоимости проезда общественным транспортом педагогических работников</t>
  </si>
  <si>
    <t xml:space="preserve">Норматив стоимости канцелярских товаров для делопроизводства при оказании муниципальных  услуг в области образования муниципальными учреждениями г.Долгопрудного </t>
  </si>
  <si>
    <t>Норматив стоимости канцелярских товаров для делопроизводства</t>
  </si>
  <si>
    <t>Норматив стоимости комплектации изделиями медицинского назначения аптечек для оказания первой помощи работникам</t>
  </si>
  <si>
    <t xml:space="preserve">Норматив стоимости комплекта посуды при оказании муниципальных  услуг в области образования общеобразовательными и дошкольными муниципальными учреждениями г.Долгопрудного </t>
  </si>
  <si>
    <t>Норматив стоимости комплекта посуды</t>
  </si>
  <si>
    <t>Норматив стоимости оборудования для организаций дополнительного образования</t>
  </si>
  <si>
    <t>Нормативный документ:</t>
  </si>
  <si>
    <t>Норматив стоимости аренды помещений</t>
  </si>
  <si>
    <t>Норматив стоимости дизенсекции</t>
  </si>
  <si>
    <t>Норматив стоимости технического обслуживания оборудования бассейна</t>
  </si>
  <si>
    <t>Норматив стоимости технического обслуживания прачечного оборудования</t>
  </si>
  <si>
    <t>Норматив стоимости технического обслуживания медицинского оборудования</t>
  </si>
  <si>
    <t>Норматив стоимости технического обслуживания АПС</t>
  </si>
  <si>
    <t>Норматив стоимости технического обслуживания КТС</t>
  </si>
  <si>
    <t>Норматив стоимости технического обслуживания узлов учёта</t>
  </si>
  <si>
    <t>Норматив стоимости технического обслуживания компьютерной техники</t>
  </si>
  <si>
    <t>Норматив стоимости технического обслуживания домофона</t>
  </si>
  <si>
    <t>Норматив стоимости услуги по аттестация рабочих мест</t>
  </si>
  <si>
    <t>Норматив стоимости услуги на медицинские осмотры сотрудников</t>
  </si>
  <si>
    <t>Норматив стоимости услуги по обнавлению сертификата электронной подписи</t>
  </si>
  <si>
    <t>Норматив стоимости услуги по проведению обучения сотрудников</t>
  </si>
  <si>
    <t>Норматив стоимости потребления расходных материалов для организаций дополнительного образования</t>
  </si>
  <si>
    <t>Норматив стоимости потребления продуктов питания для воспитанников до 3-х</t>
  </si>
  <si>
    <t>Норматив стоимости потребления продуктов питания для воспитанников после 3-х</t>
  </si>
  <si>
    <t>Норматив стоимости потребления мягкого инвентаря в группах для воспитанников до 3-х лет</t>
  </si>
  <si>
    <t>Норматив стоимости потребления мягкого инвентаря в группах для воспитанников более 3-х лет</t>
  </si>
  <si>
    <t>на 1 педагогического работника</t>
  </si>
  <si>
    <t>на 1 учащегося (воспитанника)</t>
  </si>
  <si>
    <t>на 1 здание</t>
  </si>
  <si>
    <t>на 1 место</t>
  </si>
  <si>
    <t>на 1 сотрудника</t>
  </si>
  <si>
    <t>на 1 кв. м</t>
  </si>
  <si>
    <t>на 1 воспитанника</t>
  </si>
  <si>
    <t>на 1 организацию</t>
  </si>
  <si>
    <t>на 1 класс</t>
  </si>
  <si>
    <t>Норматив стоимости водоснабжения и водоотведения в учреждениях дополнительного образования</t>
  </si>
  <si>
    <t>Норматив стоимости теплоснабжения в общеобразовательных учреждениях и учреждениях дополнительного образования</t>
  </si>
  <si>
    <t>Дошкольная образовательная организация с бассейном</t>
  </si>
  <si>
    <t xml:space="preserve">Нормы водопотребления и водоотведения при оказании муниципальных  услуг в области образования муниципальными учреждениями г.Долгопрудного </t>
  </si>
  <si>
    <t>водопотребление</t>
  </si>
  <si>
    <t>водоотведение</t>
  </si>
  <si>
    <t xml:space="preserve">Нормы теплоснабжения при оказании муниципальных  услуг в области образования муниципальными учреждениями г.Долгопрудного </t>
  </si>
  <si>
    <t>отопление на 1 кв м общей площади, Гкал в год</t>
  </si>
  <si>
    <t>на 1 учащегося (воспитанника),куб.м(Гкал) в год</t>
  </si>
  <si>
    <t>подогрев</t>
  </si>
  <si>
    <t>Общеобразовательная образовательная организация и учреждения дополнительного образования</t>
  </si>
  <si>
    <t xml:space="preserve">Нормы прохождения медицинских осмотров сотрудниками при оказании муниципальных  услуг в области образования муниципальными учреждениями г.Долгопрудного </t>
  </si>
  <si>
    <t>на 1 сотрудника в год</t>
  </si>
  <si>
    <t>Рентгенография грудной клетки</t>
  </si>
  <si>
    <t>Исследование крови на сифилис</t>
  </si>
  <si>
    <t>Мазки на гонорею</t>
  </si>
  <si>
    <t>Исследование на гельминтозы</t>
  </si>
  <si>
    <t>Дерматовенеролог</t>
  </si>
  <si>
    <t>Оториноларинголог</t>
  </si>
  <si>
    <t>Стоматолог</t>
  </si>
  <si>
    <t>Норматив, руб. на 1 сотрудника</t>
  </si>
  <si>
    <t xml:space="preserve">Норматив стоимости прохождения медицинских осмотров сотрудниками при оказании муниципальных  услуг в области образования муниципальными учреждениями г.Долгопрудного </t>
  </si>
  <si>
    <t>Аттестация на знаниа санитарных норм</t>
  </si>
  <si>
    <t xml:space="preserve">Нормы приобретения периодических изданий при оказании муниципальных  услуг дошкольными образовательными муниципальными учреждениями г.Долгопрудного </t>
  </si>
  <si>
    <t>Наименование издания</t>
  </si>
  <si>
    <t>на 1 учреждение в год</t>
  </si>
  <si>
    <t xml:space="preserve">Норматив стоимости периодических изданий при оказании муниципальных  услуг дошкольными образовательными муниципальными учреждениями г.Долгопрудного </t>
  </si>
  <si>
    <t xml:space="preserve">Нормы приобретения периодических изданий при оказании муниципальных  услуг общеобразовательными муниципальными учреждениями г.Долгопрудного </t>
  </si>
  <si>
    <t xml:space="preserve">Норматив стоимости периодических изданий при оказании муниципальных  услуг общеобразовательными муниципальными учреждениями г.Долгопрудного </t>
  </si>
  <si>
    <t xml:space="preserve">Нормы приобретения периодических изданий при оказании муниципальных  услуг муниципальными учреждениями дополнительного образования  г.Долгопрудного </t>
  </si>
  <si>
    <t xml:space="preserve">Норматив стоимости периодических изданий при оказании муниципальных  услуг муниципальными учреждениями дополнительного образования г.Долгопрудного </t>
  </si>
  <si>
    <t>Норматив стоимости подписки на периодические издания  учреждениями дополнительного образования</t>
  </si>
  <si>
    <t>Норматив,руб. в год</t>
  </si>
  <si>
    <t>на 1 учащегося</t>
  </si>
  <si>
    <t xml:space="preserve">Норматив стоимости водопотребления и водоотведения при оказании муниципальных  услуг в области образования муниципальными учреждениями г.Долгопрудного </t>
  </si>
  <si>
    <t>интернет</t>
  </si>
  <si>
    <t>империал</t>
  </si>
  <si>
    <t>на 1 кв м общей площади, к Вт в год</t>
  </si>
  <si>
    <t>Организация дополнительного образования спортивной направленности</t>
  </si>
  <si>
    <t>Норматив стоимости, руб. в год на1 кв м общей площади</t>
  </si>
  <si>
    <t xml:space="preserve">Норматив стоимости электропотребления при оказании муниципальных  услуг в области образования муниципальными учреждениями г.Долгопрудного </t>
  </si>
  <si>
    <t xml:space="preserve">Нормы электропотребления при оказании муниципальных  услуг в области образования муниципальными учреждениями г.Долгопрудного </t>
  </si>
  <si>
    <t>Норматив стоимости электропотребления в учреждениях дополнительного образования</t>
  </si>
  <si>
    <t>на 1 кв. м, в год</t>
  </si>
  <si>
    <t>на 1 обслуживаемого оборудования в год</t>
  </si>
  <si>
    <t>Вестник образования</t>
  </si>
  <si>
    <t>Ежедневные новости Подмосковья с приложением</t>
  </si>
  <si>
    <t>Нормативные документы образовательного учреждения</t>
  </si>
  <si>
    <t>Учительская газета</t>
  </si>
  <si>
    <t>Справочник руководителя школы</t>
  </si>
  <si>
    <t>Справочник руководителя дошкольного учреждения</t>
  </si>
  <si>
    <t>Дошкольное воспитание</t>
  </si>
  <si>
    <t>Тарифная сетка 1 разряда</t>
  </si>
  <si>
    <t>Группа по оплате труда</t>
  </si>
  <si>
    <t>Содержание и ремонт инженерного обслуживания</t>
  </si>
  <si>
    <t>Ремонт конструктивных элементов зданий</t>
  </si>
  <si>
    <t xml:space="preserve">Итого </t>
  </si>
  <si>
    <t>слесарь-сантехник</t>
  </si>
  <si>
    <t>эл.мантер по ремонту и обслуживанию электро-оборудования</t>
  </si>
  <si>
    <t>Слесарь КИПиА</t>
  </si>
  <si>
    <t>Электрогазосварщик</t>
  </si>
  <si>
    <t>Слесарь-ремонтник</t>
  </si>
  <si>
    <t>Моляр</t>
  </si>
  <si>
    <t>Плотник</t>
  </si>
  <si>
    <t>Стекольщик</t>
  </si>
  <si>
    <t>Штукатур</t>
  </si>
  <si>
    <t>Столяр</t>
  </si>
  <si>
    <t>Подсобный рабочий (S тех.этажей)</t>
  </si>
  <si>
    <t>квалификационный рязряд</t>
  </si>
  <si>
    <t xml:space="preserve"> 2-6</t>
  </si>
  <si>
    <t xml:space="preserve"> 1-6</t>
  </si>
  <si>
    <t xml:space="preserve"> 2-8</t>
  </si>
  <si>
    <t xml:space="preserve"> 2-5</t>
  </si>
  <si>
    <t xml:space="preserve"> 1-2</t>
  </si>
  <si>
    <t>разряд по выполнению работ</t>
  </si>
  <si>
    <t>ставка по рязряду</t>
  </si>
  <si>
    <t>Норматив численности на 1000 м2</t>
  </si>
  <si>
    <t>Итого по оплат труда</t>
  </si>
  <si>
    <t>Начисления на оплату труда</t>
  </si>
  <si>
    <t>Организация ремонтно-технического обслуживания</t>
  </si>
  <si>
    <t xml:space="preserve"> Группа по оплате труда </t>
  </si>
  <si>
    <t>I  группа</t>
  </si>
  <si>
    <t>II группа</t>
  </si>
  <si>
    <t>III группа</t>
  </si>
  <si>
    <t>Начальник участка</t>
  </si>
  <si>
    <t>1/15 раб.</t>
  </si>
  <si>
    <t>Итого по оплате труда с начислениями</t>
  </si>
  <si>
    <t xml:space="preserve">Итого расходов на 1000 кв.м. </t>
  </si>
  <si>
    <t>Итого расходов на 1 кв.м. в год</t>
  </si>
  <si>
    <t xml:space="preserve">на 1 здание </t>
  </si>
  <si>
    <t>на 1 бассейн в год</t>
  </si>
  <si>
    <t>Норматив, руб. на 1 учреждение в год</t>
  </si>
  <si>
    <t>Наименование услуг, работ</t>
  </si>
  <si>
    <t xml:space="preserve">п.1.2.1 Гигиеническое воспитание населения , обучение граждан по вопросам обеспечения санэпидблагополучия населения (за 1чел.). </t>
  </si>
  <si>
    <t xml:space="preserve">п.1.2.2. Аттестация гигиенической подготовки. </t>
  </si>
  <si>
    <t xml:space="preserve">п.1.2.11.1 Расходы связанные с транспортировкой специалиста, оборудования для проведения исследований (измерений), в т.ч. доставка проб в ИЛЦ средствами Учреждения (филиала): до 30 км. </t>
  </si>
  <si>
    <t xml:space="preserve">п.2.1.6.1Сан.хим.исследования воды источников центрального и нецентр.водоснабжения, открытых водоемов, сточной воды,технической воды ,горячего водоснабжения, системы кондиционирования: рН потенциометрическим методом. </t>
  </si>
  <si>
    <t xml:space="preserve">п.2.1.6.3Сан.хим.исследования воды источников центрального и нецентр.водоснабжения, открытых водоемов, сточной воды,технической воды,горячего водоснабжения,системы кондиционирования: аммиак спектрофотометрическим (фотометрическим) методом. </t>
  </si>
  <si>
    <t xml:space="preserve">п.2.1.6.12Сан.хим.исследования воды источников центрального и нецентр.водоснабжения, открытых водоемов, сточной воды ,технической воды,горячего водосн.,системы кондиционирования: Железо спектрофотометрическим(фотометрическим методом. </t>
  </si>
  <si>
    <t xml:space="preserve">п.2.1.6.13 Сан.хим.исследования воды источников центрального и нецентр.водоснабжения, открытых водоемов, сточной воды ,технической воды,горячего водоснабжения,системы кондиционирования: жесткость общая комплексонометрическим методом.. </t>
  </si>
  <si>
    <t xml:space="preserve">п.2.1.6.22 Сан.хим.исследования воды источников центрального и нецентр.водоснабжения, открытых водоемов, сточной воды,технической воды,горячего водоснабжения,системы кондиционирования: мутность спектрофотометрическим методом.. </t>
  </si>
  <si>
    <t xml:space="preserve">п.2.1.6.25  Сан.хим.исследования воды источников центрального и нецентр.водоснабжения, открытых водоемов, сточной воды,технической воды,горячего водоснабжения,системы кондиционирования: нитраты спектрофометрическим(фотометрическим) методом. </t>
  </si>
  <si>
    <t xml:space="preserve">п.2.1.6.26  Сан.хим.исследования воды источников центрального и нецентр.водоснабжения, открытых водоемов, сточной воды,технической воды,горячего водоснабжения,системы кондиционирования: нитриты спектрофометрическим(фотометрическим) методом. </t>
  </si>
  <si>
    <t xml:space="preserve">п.2.1.6.29 Сан.хим.исследования воды источников центрального и нецентр.водоснабжения, открытых водоемов, сточной воды,технической воды,горячего водоснабжения,системы кондиционирования: органолептические показатели. </t>
  </si>
  <si>
    <t xml:space="preserve">п.2.1.6.65 Сан.хим.исследования воды источников центрального и нецентр.водоснабжения, открытых водоемов, сточной воды,технической воды,горячего водоснабжения,системы кондиционирования : хлориды титриметрическим методом. </t>
  </si>
  <si>
    <t xml:space="preserve">п.2.1.6.71 Сан.хим.исследования воды источников центрального и нецентр.водоснабжения, открытых водоемов, сточной воды,технической воды,горячего водоснабжения,системы кондиционирования: цветность спектрофотометрическим методом. </t>
  </si>
  <si>
    <t xml:space="preserve">2.2.1.2.8.2 Измерение (исследование) физических факторов (в одной точке или на одном рабочем месте,в производственной зоне) в жилых и общественных зданиях: световой среды освещенности и искуственной ГОСТ 2490-96. </t>
  </si>
  <si>
    <t xml:space="preserve">2.2.1.2.10.1 Измерение (исследование) физических факторов (в одной точке или на одном рабочем месте,в производственной зоне) в жилых и общественных зданиях: микроклимата температуры и влажности  ГОСТ 30494-96. </t>
  </si>
  <si>
    <t>п.2.2.1.3.5.1. Измерение (исследование) физических факторов ( в одной точке или на одном рабочем месте , в производственной зоне) на промышленных объектах уровней электромагнитных полей (от ПЭВМ) напряженности электрич. поля и плотности магнитного потока.</t>
  </si>
  <si>
    <t xml:space="preserve">2.2.1.3.8.2.Измерение(исследование) физических факторов(в одной точке или на одном рабочем месте,в производственной зоне) освещенности искуственной ГОСТ50923-96ГОСТ24940-96ГОСТ50949-96МУ1322-75МУК2.2.4.706-98. </t>
  </si>
  <si>
    <t xml:space="preserve">2.2.1.8.2.1Измерение (исследование) физических факторов (в одной точке или на одном рабочем месте,в производственной зоне) в жилых и общественных зданиях: световой среды освещенности искуственной ГОСТ 24940-96. </t>
  </si>
  <si>
    <t xml:space="preserve">п.2.2.1.3.10.1. Измерение (исследование) физических факторов ( в одной точке или на одном рабочем месте , в производственной зоне) на промышленных объектах микроклимата , температуры и влажности. </t>
  </si>
  <si>
    <t xml:space="preserve">2.5.1.42.1 Санитарно-бактериологические исследования воды централизованного водоснобжения (холодная горячая): ОМЧ  МУК 4.2.1018-01. </t>
  </si>
  <si>
    <t xml:space="preserve">2.5.1.42.2Санитарно-бактериологические исследования воды централизованного водоснобжения (холодная ,горячая): ОКБ ТКБ 4.2.1018-01. </t>
  </si>
  <si>
    <t xml:space="preserve">п.2.7.1.13. Санитарно-паразитологические исследования почвы ,земли,земельных участков на наличие яиц гельминтов МУК 4.2.796-99. </t>
  </si>
  <si>
    <t xml:space="preserve">2.5.1.45.1 Санитарно-бактериологические исследования воды купально-плавательных бассейнов: ОКБ , ТКБ МУК 4.2.1018-01. </t>
  </si>
  <si>
    <t xml:space="preserve">2.5.1.45.2 Санитарно-бактериологические исследования воды купально-плавательных бассейнов: колифаги .МУК 4.2.1018-01. </t>
  </si>
  <si>
    <t xml:space="preserve">2.5.1.45.4 Санитарно-бактериологические исследования воды купально-плавательных бассейнов: Staphylococcus aureus . МУК 4.2.1884-04. </t>
  </si>
  <si>
    <t xml:space="preserve">2.5.1.45.5 Санитарно-бактериологические исследования воды купально-плавательных бассейнов: Pseudomonas aeruginosa.МУК 4.2.1018-01. </t>
  </si>
  <si>
    <t xml:space="preserve">п.2.7.1.9. Санитарно-паразитологические исследования воды купально- плавательных басейнов МУК 4.2.964-00. </t>
  </si>
  <si>
    <t xml:space="preserve">п.2.1.5.1 Сан.хим.исследования воды купально-плавательных бассейнов :рН потенциометрическим методом. </t>
  </si>
  <si>
    <t xml:space="preserve">п.2.1.5.6 Сан.хим.исследования воды купально-плавательных бассейнов : мутность спектрофотометрическим методом. </t>
  </si>
  <si>
    <t xml:space="preserve">п.2.1.5.8 Сан.хим.исследования воды купально-плавательных бассейнов : органолептические показатели. </t>
  </si>
  <si>
    <t xml:space="preserve">п.2.1.5.10 Сан.хим.исследования воды купально-плавательных бассейнов : хлор свободный титриметрическим методом. </t>
  </si>
  <si>
    <t xml:space="preserve">п.2.1.5.13 Сан.хим.исследования воды купально-плавательных бассейнов : цветность спектрофотометрическим методом. </t>
  </si>
  <si>
    <t>Итого при наличии бассейна</t>
  </si>
  <si>
    <t>Сумма в руб.</t>
  </si>
  <si>
    <t>Кол-во проб</t>
  </si>
  <si>
    <t xml:space="preserve">Норматив стоимости проведения санитарно-химических исследований, измерения физических факторов и проведение гигиенического воспитания населения при оказании муниципальных  услуг в дошкольных образовательных учреждениях г.Долгопрудного </t>
  </si>
  <si>
    <t xml:space="preserve">Норматив стоимости проведения санитарно-химических исследований, измерения физических факторов и проведение гигиенического воспитания населения при оказании муниципальных  услуг в общеобразовательных учреждениях г.Долгопрудного </t>
  </si>
  <si>
    <t xml:space="preserve">Норматив стоимости проведения санитарно-химических исследований, измерения физических факторов и проведение гигиенического воспитания населения при оказании муниципальных  услуг в учреждениях дополнительного образования г.Долгопрудного </t>
  </si>
  <si>
    <t xml:space="preserve">Норматив стоимости за техническое обслуживание домофона при оказании муниципальных  услуг  образовательными муниципальными учреждениями г.Долгопрудного </t>
  </si>
  <si>
    <t>Вид оборудования</t>
  </si>
  <si>
    <t>Кол-во шт</t>
  </si>
  <si>
    <t>Панель</t>
  </si>
  <si>
    <t>Блок питания</t>
  </si>
  <si>
    <t>Трубка</t>
  </si>
  <si>
    <t>Электронный замок</t>
  </si>
  <si>
    <t>Монитор</t>
  </si>
  <si>
    <t>Норматив, руб. на 1 учреждение</t>
  </si>
  <si>
    <t>Камера</t>
  </si>
  <si>
    <t>Вид услуг</t>
  </si>
  <si>
    <t>Пользоватие радиокональной системой</t>
  </si>
  <si>
    <t>Пользование основным абонентским устройством с повременной платой, прямая телефонная связь с подразделением пожарной охраны (ПЧ-73) на номер "01"</t>
  </si>
  <si>
    <t>Пользование основным абонентским устройством с абонентской платой</t>
  </si>
  <si>
    <t>Услуги автоматического определения номера</t>
  </si>
  <si>
    <t>Предоставление детализации счета</t>
  </si>
  <si>
    <t>Предоставление услуг связи по прямому проводу</t>
  </si>
  <si>
    <t>Предоставление междугородних каналов связи</t>
  </si>
  <si>
    <t>Предоставление внутризональных каналов связи</t>
  </si>
  <si>
    <t>Итого по предоставлению услуг связи</t>
  </si>
  <si>
    <t xml:space="preserve">Предоставление доступа к  всемирной системе объединённых компьютерных сетей для хранения и передачи информации со скоростью не ниже 30 Мбит/сек. </t>
  </si>
  <si>
    <t>Итого по предоставлению доступа к компьютерной сети</t>
  </si>
  <si>
    <t xml:space="preserve">Предоставление доступа к  всемирной системе объединённых компьютерных сетей для хранения и передачи информации со скоростью не ниже 50 Мбит/сек. </t>
  </si>
  <si>
    <t xml:space="preserve">Норматив стоимости за использование линий связи и передачу данных по каналам связи при оказании муниципальных  услуг муниципальными учреждениями дополнительного образования г.Долгопрудного </t>
  </si>
  <si>
    <t xml:space="preserve">Предоставление доступа к  всемирной системе объединённых компьютерных сетей для хранения и передачи информации со скоростью не ниже 6 Мбит/сек. </t>
  </si>
  <si>
    <t>Норматив стоимости услуг связи в учреждениях дополнительного образования</t>
  </si>
  <si>
    <t>Норматив стоимости услуг по предоставлению доступа к сети интернет в учреждениях дополнительного образования</t>
  </si>
  <si>
    <t>Ежедневно, круглосуточно, включая выходные и праздничные дни</t>
  </si>
  <si>
    <t>Количество часов в год</t>
  </si>
  <si>
    <t xml:space="preserve">Приложение №                        </t>
  </si>
  <si>
    <t>Наименование услуги</t>
  </si>
  <si>
    <t>Программа обучения</t>
  </si>
  <si>
    <t>Кол-во обучающихся</t>
  </si>
  <si>
    <t>Охрана труда руководителей и специалистов организаций</t>
  </si>
  <si>
    <t>Пожарно-технический минимум</t>
  </si>
  <si>
    <t>Правилам технической эксплуатации электроустановок потребителей</t>
  </si>
  <si>
    <t>Правилам устройства электроустановок</t>
  </si>
  <si>
    <t>Правилам по охране труда при эксплуатации электроустановок</t>
  </si>
  <si>
    <t>Сбор и обезвреживание ртутьсодержащих отходов (РСО)</t>
  </si>
  <si>
    <t xml:space="preserve">Норматив стоимости вывоза и утилизации  ртутьсодержащих отходов (РСО) в общеобразовательных  учреждениях г.Долгопрудного </t>
  </si>
  <si>
    <t>№ п/п</t>
  </si>
  <si>
    <t>Наименование работ</t>
  </si>
  <si>
    <t>Ед. изм.</t>
  </si>
  <si>
    <t>Кол-во</t>
  </si>
  <si>
    <t>Стоимость на 1 учреждение</t>
  </si>
  <si>
    <t>1.</t>
  </si>
  <si>
    <t>Проведение экспертизы научной и практической ценности документов по личному составу с полистным просмотром</t>
  </si>
  <si>
    <t>1 дело</t>
  </si>
  <si>
    <t>2.</t>
  </si>
  <si>
    <t>Описание документов по личному составу, формирование дел, нумерация листов внутри дела, составление листов заверителей, оформление обложки дела с простановкой архивных штампов</t>
  </si>
  <si>
    <t>3.</t>
  </si>
  <si>
    <t>Переплет дел</t>
  </si>
  <si>
    <t>Итого:</t>
  </si>
  <si>
    <t xml:space="preserve">Норматив стоимости услуги по архивации документов в общеобразовательных  учреждениях г.Долгопрудного </t>
  </si>
  <si>
    <t>Наименование обслуживаемого оборудования</t>
  </si>
  <si>
    <t>Вычислитель</t>
  </si>
  <si>
    <t>Узел отопления</t>
  </si>
  <si>
    <t>Узел ГВС</t>
  </si>
  <si>
    <t>Узел ХВС</t>
  </si>
  <si>
    <t>Наименование арентуемого оборудования</t>
  </si>
  <si>
    <t xml:space="preserve">Норматив стоимости технического обслуживания столового и холодильного (технологического) оборудования в дошкольных образовательных учреждениях г.Долгопрудного </t>
  </si>
  <si>
    <t>Картофелечистка</t>
  </si>
  <si>
    <t>Эл.кипятильник</t>
  </si>
  <si>
    <t>Ларь (морозильник)</t>
  </si>
  <si>
    <t>Мясорубка</t>
  </si>
  <si>
    <t>Овощерезка</t>
  </si>
  <si>
    <t>Принудительная вытяжная вентиляция</t>
  </si>
  <si>
    <t>Универсальная кухонная   машина</t>
  </si>
  <si>
    <t>Холодильник бытовой</t>
  </si>
  <si>
    <t xml:space="preserve">Морозильная камера </t>
  </si>
  <si>
    <t>Жарочно-пекарский шкаф</t>
  </si>
  <si>
    <t>Шкаф холодильный</t>
  </si>
  <si>
    <t>Электросковорода</t>
  </si>
  <si>
    <t>Плита электрическая</t>
  </si>
  <si>
    <t>Жарочный шкаф</t>
  </si>
  <si>
    <t>Мармит</t>
  </si>
  <si>
    <t>Посудомоечнаяя машина</t>
  </si>
  <si>
    <t>Радиоканальная система передачи тревожного извещения о пожаре</t>
  </si>
  <si>
    <t>Автоматическая пожарная сигнализация</t>
  </si>
  <si>
    <t xml:space="preserve">Норматив стоимости технического обслуживания узлов учёта в образовательных учреждениях г.Долгопрудного </t>
  </si>
  <si>
    <t xml:space="preserve">Норматив стоимости услуги по технической поддержке программы"1С предприятие" в образовательных учреждениях г.Долгопрудного </t>
  </si>
  <si>
    <t xml:space="preserve">Норматив стоимости услуги по проведению обучения сотрудников в образовательных учреждениях г.Долгопрудного </t>
  </si>
  <si>
    <t xml:space="preserve">Норматив стоимости услуги по обнавлению сертификата электронной подписи в образовательных учреждениях г.Долгопрудного </t>
  </si>
  <si>
    <t xml:space="preserve">Норматив стоимости технического обслуживания системы АПС в образовательных учреждениях г.Долгопрудного  </t>
  </si>
  <si>
    <t xml:space="preserve">Комплекс технических средств охраны </t>
  </si>
  <si>
    <t>Принтер</t>
  </si>
  <si>
    <t>Ксерокс</t>
  </si>
  <si>
    <t xml:space="preserve">Стиральная машина </t>
  </si>
  <si>
    <t xml:space="preserve">Центрифуга </t>
  </si>
  <si>
    <t>Каток гладильный</t>
  </si>
  <si>
    <t xml:space="preserve">Норматив стоимости технического обслуживания прачечного оборудования в дошкольных образовательных учреждениях г.Долгопрудного </t>
  </si>
  <si>
    <t xml:space="preserve">Норматив стоимости технического обслуживания компьютерной техники в образовательных учреждениях г.Долгопрудного </t>
  </si>
  <si>
    <t xml:space="preserve">Норматив стоимости технического обслуживания плавательного бассейна в образовательных учреждениях г.Долгопрудного  </t>
  </si>
  <si>
    <t>Плавательный бассейн</t>
  </si>
  <si>
    <t>Дератизация</t>
  </si>
  <si>
    <t xml:space="preserve">Норматив стоимости дератизации и дезинсекции в образовательных учреждениях г.Долгопрудного </t>
  </si>
  <si>
    <t>Обрабатываемая площадь (м2)</t>
  </si>
  <si>
    <t>Стоимость за год площадь (м2)</t>
  </si>
  <si>
    <t>№ п\п</t>
  </si>
  <si>
    <t>Дезинсекция</t>
  </si>
  <si>
    <t>Норматив стоимости, руб. в год на 1 кв м общей площади</t>
  </si>
  <si>
    <t>Универсальная кухонная машина</t>
  </si>
  <si>
    <t>Оказание первой помощи</t>
  </si>
  <si>
    <t>Разовые тематические программы (по рекомендациям вышестоящих организаций)</t>
  </si>
  <si>
    <t>Обработка против искодных клещей</t>
  </si>
  <si>
    <t>Норматив стоимости услуг по обработке против искодных клещей</t>
  </si>
  <si>
    <t>на 1 кв. м земельного участка, в год</t>
  </si>
  <si>
    <t xml:space="preserve">Норматив стоимости услуги по архивации документов в дошкольных образовательных учреждениях  и учреждениях дополнительного образования детей г.Долгопрудного </t>
  </si>
  <si>
    <t xml:space="preserve">Кол-во </t>
  </si>
  <si>
    <t xml:space="preserve">Норматив стоимости вывоза и утилизации  ртутьсодержащих отходов (РСО) в дошкольных образовательных учреждениях и учреждениях дополнительного образования детей г.Долгопрудного </t>
  </si>
  <si>
    <t xml:space="preserve">Нормативрасходов по налогу на имущество и земельному налогу в образовательных учреждениях г.Долгопрудного </t>
  </si>
  <si>
    <t>Налоговая ставка</t>
  </si>
  <si>
    <t>Налог на имущество в учреждениях дополнительного образования</t>
  </si>
  <si>
    <t>Земельный налог в учреждениях дополнительного образования</t>
  </si>
  <si>
    <t>налог на землю в дошкольных образовательных учреждениях</t>
  </si>
  <si>
    <t>налог на землю в общеобразовательных учреждениях</t>
  </si>
  <si>
    <t>налог на землю в учреждениях дополнительного образования детей</t>
  </si>
  <si>
    <t>Норматив расходов на заработную плату работников, непосредственно связанных с содержанием имущества в общеобразовательных организациях</t>
  </si>
  <si>
    <t>Норматив, руб. на 1 группу в год</t>
  </si>
  <si>
    <t>Техническое обслуживание здания и инженерного оборудования</t>
  </si>
  <si>
    <t>Норматив, руб. на 1 м2 в год</t>
  </si>
  <si>
    <t>Кол-во, м2</t>
  </si>
  <si>
    <t xml:space="preserve">Норматив стоимости технического обслуживания здания и инженерного оборудования  </t>
  </si>
  <si>
    <t>на 1 кв.м.земельного участка</t>
  </si>
  <si>
    <t xml:space="preserve">Норматив, руб. </t>
  </si>
  <si>
    <t>Пользоватие радиоканальной системой</t>
  </si>
  <si>
    <t xml:space="preserve">Норматив стоимости технического обслуживания здания и инженерного оборудования в образовательных учреждениях г.Долгопрудного  </t>
  </si>
  <si>
    <t xml:space="preserve">Норматив стоимости за техническое обслуживание системы видеонаблюдения при оказании муниципальных  услуг  образовательными муниципальными учреждениями г.Долгопрудного </t>
  </si>
  <si>
    <t>Видеосервер</t>
  </si>
  <si>
    <t>Видеорегистратор</t>
  </si>
  <si>
    <t>Итого по техническому обслуживанию системы видеонаблюдения</t>
  </si>
  <si>
    <t>Видеодомофон</t>
  </si>
  <si>
    <t>Количество постов</t>
  </si>
  <si>
    <t>Аттестация на знания санитарных норм</t>
  </si>
  <si>
    <t>Гинеколог</t>
  </si>
  <si>
    <t>Нарколог</t>
  </si>
  <si>
    <t>Электрокардиография</t>
  </si>
  <si>
    <t>Мазки на цитологию</t>
  </si>
  <si>
    <t>Клинический анализ крови</t>
  </si>
  <si>
    <t>Терапевт</t>
  </si>
  <si>
    <t>Клинический анализ мочи</t>
  </si>
  <si>
    <t>Биохимический анализ крови (глюкоза, холестерин)</t>
  </si>
  <si>
    <t>Узи молочных желез</t>
  </si>
  <si>
    <t>Норматив стоимости технического обслуживания видеонаблюдения</t>
  </si>
  <si>
    <t>Норматив стоимости услуги санитарно-эпидемиологической службы в учерждениях дополнительного образования</t>
  </si>
  <si>
    <t>Нормы потребления мягкого инвентаря</t>
  </si>
  <si>
    <t>Тарелка десертная</t>
  </si>
  <si>
    <t>Посудомоечная машина</t>
  </si>
  <si>
    <t>Кол-во оборудования</t>
  </si>
  <si>
    <t>Итого по техническому обслуживанию системы домофона</t>
  </si>
  <si>
    <t>Режим охраны</t>
  </si>
  <si>
    <t xml:space="preserve">Норматив стоимости на охрану объектов постовой службой при оказании муниципальных  услуг  образовательными муниципальными учреждениями г.Долгопрудного </t>
  </si>
  <si>
    <t>Наименование обследования</t>
  </si>
  <si>
    <t>Обновление сертификата электронной подписи</t>
  </si>
  <si>
    <t>на 1 класс, шт.</t>
  </si>
  <si>
    <t>Наименование оборудования</t>
  </si>
  <si>
    <t xml:space="preserve">Норматив стоимости потребления расходных материалов на оказание муниципальных услуг в области образования муниципальными учреждениями г.Долгопрудного </t>
  </si>
  <si>
    <t>Наименование</t>
  </si>
  <si>
    <t xml:space="preserve">Анализ крови на сифилис </t>
  </si>
  <si>
    <t>Флюорография</t>
  </si>
  <si>
    <t>Кал на я/гл.+энтробиоз</t>
  </si>
  <si>
    <t>Саниминиум (первичный, вторичный)</t>
  </si>
  <si>
    <t>Мазок из зева на стафилококк</t>
  </si>
  <si>
    <t>Для детей в возрасте до 3 лет в уч-иях с длительностью пребывания 12час.</t>
  </si>
  <si>
    <t>Для детей в возрасте 3-7 лет в уч-иях с длительностью пребывания 12час.</t>
  </si>
  <si>
    <t>Норматив расходов на заработную плату работников, непосредственно связанных с оказанием услуги по реализации основных общеобразовательных программ дошкольного образования (компенсирующая направленность)</t>
  </si>
  <si>
    <t xml:space="preserve">Норматив стоимости технического обслуживания столового и холодильного (технологического) оборудования в общеобразовательных учреждениях г.о. Долгопрудного </t>
  </si>
  <si>
    <t xml:space="preserve">Норматив стоимости технического обслуживания системы КТС в образовательных учреждениях г.Долгопрудного  </t>
  </si>
  <si>
    <t xml:space="preserve">Стул </t>
  </si>
  <si>
    <t>Плита</t>
  </si>
  <si>
    <t>на 1 организацию, группу, воспитанника , шт.</t>
  </si>
  <si>
    <t>Кухонное технологическое оборудование (овощерезка, овощечистка, миксер и проч.)</t>
  </si>
  <si>
    <t>Оборудование для прачечной</t>
  </si>
  <si>
    <t>Стиральная машина</t>
  </si>
  <si>
    <t>Центрифуга</t>
  </si>
  <si>
    <t>Гладильный пресс</t>
  </si>
  <si>
    <t>Утюг</t>
  </si>
  <si>
    <t>Гладильная доска</t>
  </si>
  <si>
    <t>Оборудование для организации питания</t>
  </si>
  <si>
    <t>МФУ</t>
  </si>
  <si>
    <t>Норматив расходов на заработную плату работников, непосредственно связанных с оказанием услуги по реализации дополнительных общеобразовательных программ в школах различных видов искусств</t>
  </si>
  <si>
    <t>Норматив расходов на заработную плату работников, непосредственно связанных с оказанием услуги по реализации дополнительных общеобразовательных программ в центрах творчества</t>
  </si>
  <si>
    <t>Норматив расходов на заработную плату работников, непосредственно связанных с оказанием услуги по  реализации дополнительных общеобразовательных программ в спортивных школах</t>
  </si>
  <si>
    <t>Организация питания</t>
  </si>
  <si>
    <t>Норматив стоимости организации питания</t>
  </si>
  <si>
    <t>Норматив стоимости организации питания льготной категории детей (обеспечение муниципальным заданием 100%)</t>
  </si>
  <si>
    <r>
      <t>Норматив расходов на</t>
    </r>
    <r>
      <rPr>
        <b/>
        <sz val="11"/>
        <rFont val="Arial"/>
        <family val="2"/>
        <charset val="204"/>
      </rPr>
      <t xml:space="preserve"> заработную плату</t>
    </r>
    <r>
      <rPr>
        <sz val="11"/>
        <rFont val="Arial"/>
        <family val="2"/>
        <charset val="204"/>
      </rPr>
      <t xml:space="preserve"> работников, непосредственно связанных с оказанием услуги по реализации основных общеобразовательных программ </t>
    </r>
    <r>
      <rPr>
        <b/>
        <sz val="11"/>
        <rFont val="Arial"/>
        <family val="2"/>
        <charset val="204"/>
      </rPr>
      <t>дошкольного образования</t>
    </r>
  </si>
  <si>
    <t>Норматив стоимости оборудования, связанного с оказанием присмотра и ухода для в дошкольных группах</t>
  </si>
  <si>
    <t>Норматив стоимости потребления расходных материалов при оказании услуг по программа начального, основного и среднего образования</t>
  </si>
  <si>
    <t>Наименование должности</t>
  </si>
  <si>
    <t>Тариф 2023г,руб.</t>
  </si>
  <si>
    <t>К дефл 2024г</t>
  </si>
  <si>
    <t>Тариф 2024,руб.</t>
  </si>
  <si>
    <t xml:space="preserve">Должность (специальность, профессия)  </t>
  </si>
  <si>
    <t>разряд, класс (категория), квалификация</t>
  </si>
  <si>
    <t>группа по оплате труда, стаж работы</t>
  </si>
  <si>
    <t>Количество штатных единиц</t>
  </si>
  <si>
    <t>Тарифная ставка (оклад) и пр., руб.</t>
  </si>
  <si>
    <t>Доплата за современные методы</t>
  </si>
  <si>
    <t>Напряженный труд</t>
  </si>
  <si>
    <t>доплата молодой специалист</t>
  </si>
  <si>
    <t>Компенсирующие выплаты</t>
  </si>
  <si>
    <t>Стимулирующие выплаты</t>
  </si>
  <si>
    <t>ФОТ в месяц на 1 ставку, руб.</t>
  </si>
  <si>
    <t>доплата до МРОТ(17930)</t>
  </si>
  <si>
    <t>оклад</t>
  </si>
  <si>
    <t>доплаты компенсирующие</t>
  </si>
  <si>
    <t>доплаты прочие</t>
  </si>
  <si>
    <t>ститмулирующие выплаты</t>
  </si>
  <si>
    <t>всего в месяц, руб.</t>
  </si>
  <si>
    <t>всего в год, руб.</t>
  </si>
  <si>
    <t xml:space="preserve">Директор      </t>
  </si>
  <si>
    <t xml:space="preserve">первая квалификационная категория </t>
  </si>
  <si>
    <t>I группа оплаты труда</t>
  </si>
  <si>
    <t xml:space="preserve">Заместитель директора </t>
  </si>
  <si>
    <t>Руководитель структ.подраздел.</t>
  </si>
  <si>
    <t>Заместитель директора по безопасности</t>
  </si>
  <si>
    <t>высшая квалификационная категория</t>
  </si>
  <si>
    <t>Заместитель директора по АХЧ</t>
  </si>
  <si>
    <t>III группа оплаты труда</t>
  </si>
  <si>
    <t>Педагог дополнительного образования</t>
  </si>
  <si>
    <t>высшее образование, специалист, магистр</t>
  </si>
  <si>
    <t xml:space="preserve"> от 0 до 3 лет</t>
  </si>
  <si>
    <t>от 5 до 10 лет</t>
  </si>
  <si>
    <t>от 10 до 15 лет</t>
  </si>
  <si>
    <t>высшее образование, бакалавр</t>
  </si>
  <si>
    <t xml:space="preserve">среднее профессиональное, </t>
  </si>
  <si>
    <t>первая категория</t>
  </si>
  <si>
    <t>высшая категория</t>
  </si>
  <si>
    <t>Преподаватель</t>
  </si>
  <si>
    <t>Концертмейстер</t>
  </si>
  <si>
    <t>Режиссёр</t>
  </si>
  <si>
    <t>вторая категория</t>
  </si>
  <si>
    <t>Дирижёр</t>
  </si>
  <si>
    <t>Художник-постановщик</t>
  </si>
  <si>
    <t>без категории</t>
  </si>
  <si>
    <t>Специалист по закупкам</t>
  </si>
  <si>
    <t>Заведующий костюмерной</t>
  </si>
  <si>
    <t>Секретарь учеб.части</t>
  </si>
  <si>
    <t>4 разряд</t>
  </si>
  <si>
    <t>Настройщик пианино</t>
  </si>
  <si>
    <t>Рабочий по ремонту и обслуживанию зданий</t>
  </si>
  <si>
    <t>2 разряд</t>
  </si>
  <si>
    <t xml:space="preserve">Дворник      </t>
  </si>
  <si>
    <t>1 разряд</t>
  </si>
  <si>
    <t>Гардеробщик</t>
  </si>
  <si>
    <t>Уборщик служебных помещений</t>
  </si>
  <si>
    <t>ИТОГО</t>
  </si>
  <si>
    <t>Направление</t>
  </si>
  <si>
    <t>групп</t>
  </si>
  <si>
    <t>детей</t>
  </si>
  <si>
    <t>часов</t>
  </si>
  <si>
    <t>чел.часов</t>
  </si>
  <si>
    <t>в рамках ПФДОТ</t>
  </si>
  <si>
    <t>в рамках МЗ</t>
  </si>
  <si>
    <t>в т.ч. общеразвив.</t>
  </si>
  <si>
    <t xml:space="preserve">           пред.профессион.</t>
  </si>
  <si>
    <t>Спортивная подготовка</t>
  </si>
  <si>
    <t>всего</t>
  </si>
  <si>
    <t>ФОТ в год</t>
  </si>
  <si>
    <t>ФОТ в год на 1 воспитанника</t>
  </si>
  <si>
    <t>Объём услуги</t>
  </si>
  <si>
    <t>Заведующий отделение</t>
  </si>
  <si>
    <t>Педагог-организатор</t>
  </si>
  <si>
    <t>свыше 20 лет</t>
  </si>
  <si>
    <t>Тренер-преподаватель</t>
  </si>
  <si>
    <t>от 15 до 20 лет</t>
  </si>
  <si>
    <t>среднее профессиональное</t>
  </si>
  <si>
    <t>от 3 до 5 лет</t>
  </si>
  <si>
    <t>свыше 15 лет</t>
  </si>
  <si>
    <t>Инструктор методист</t>
  </si>
  <si>
    <t>Секретарь учебной части</t>
  </si>
  <si>
    <t>среднее профессиональное образование</t>
  </si>
  <si>
    <t>Кол-во ставок, ед.</t>
  </si>
  <si>
    <t>Группа по оплате труда,квалификация,стаж , образование, разряд по ЕТС</t>
  </si>
  <si>
    <t>Ставка ( средняя заработная плата педагогических работников), руб.</t>
  </si>
  <si>
    <t>Коэффициенты группы по оплате труда руководящих работников</t>
  </si>
  <si>
    <t>Основания для повышения оклада</t>
  </si>
  <si>
    <t>Повышение оклада(Специфика работы, д.н.,к.н.,почетное звание, пр.), %</t>
  </si>
  <si>
    <t>Должностной оклад с учетом повышений</t>
  </si>
  <si>
    <t>Рабочий по комплексному обслуживанию и ремонту зданий</t>
  </si>
  <si>
    <t>классов</t>
  </si>
  <si>
    <t>учащихся</t>
  </si>
  <si>
    <t>Младший воспитатель</t>
  </si>
  <si>
    <t>Среднее профессиональное образование по программам подготовки специалистов среднего звена без предъявления требований к стажу работы</t>
  </si>
  <si>
    <t>Кастелянша</t>
  </si>
  <si>
    <t>Машинист по стирке и ремонту спецодежды (белья)</t>
  </si>
  <si>
    <t>Дворник</t>
  </si>
  <si>
    <t>присмотр и уход</t>
  </si>
  <si>
    <t>образование</t>
  </si>
  <si>
    <t>Услуга</t>
  </si>
  <si>
    <t>Образование</t>
  </si>
  <si>
    <t>Присмотр и уход</t>
  </si>
  <si>
    <t>воспитанников</t>
  </si>
  <si>
    <t>Обработка вентиляционной системы</t>
  </si>
  <si>
    <t xml:space="preserve">Оказание услуг по предоставлению права (продление) использования программы (неисключительная лицензия) для ЭВМ ПО «Программа для создания (управления) официальным сайтом образовательной организации»  </t>
  </si>
  <si>
    <t>Тариф ясли 2023г,руб.</t>
  </si>
  <si>
    <t>Тариф сад 2023г,руб.</t>
  </si>
  <si>
    <t>Тариф ясли 2024,руб.</t>
  </si>
  <si>
    <t>Тариф сад 2024г,руб.</t>
  </si>
  <si>
    <t>Норматив, руб. на 1 обучающегося в год (ясли)</t>
  </si>
  <si>
    <t>Норматив, руб. на 1 обучающегося в год (сад)</t>
  </si>
  <si>
    <t>Норматив стоимости организации питания (ясли)</t>
  </si>
  <si>
    <t>Норматив стоимости организации питания (сад)</t>
  </si>
  <si>
    <r>
      <t xml:space="preserve">Норматив стоимости организации питания льготной категории детей </t>
    </r>
    <r>
      <rPr>
        <b/>
        <sz val="11"/>
        <rFont val="Arial"/>
        <family val="2"/>
        <charset val="204"/>
      </rPr>
      <t>ясли</t>
    </r>
    <r>
      <rPr>
        <sz val="11"/>
        <rFont val="Arial"/>
        <family val="2"/>
        <charset val="204"/>
      </rPr>
      <t xml:space="preserve"> (обеспечение муниципальным заданием 100%)</t>
    </r>
  </si>
  <si>
    <r>
      <t xml:space="preserve">Норматив стоимости организации питания льготной категории детей </t>
    </r>
    <r>
      <rPr>
        <b/>
        <sz val="11"/>
        <rFont val="Arial"/>
        <family val="2"/>
        <charset val="204"/>
      </rPr>
      <t>сад</t>
    </r>
    <r>
      <rPr>
        <sz val="11"/>
        <rFont val="Arial"/>
        <family val="2"/>
        <charset val="204"/>
      </rPr>
      <t xml:space="preserve"> (обеспечение муниципальным заданием 100%)</t>
    </r>
  </si>
  <si>
    <t>окдадная часть</t>
  </si>
  <si>
    <t>ставки</t>
  </si>
  <si>
    <t>тариф</t>
  </si>
  <si>
    <t xml:space="preserve">25% от тарифа </t>
  </si>
  <si>
    <t>дополнительный оклад при подушной оплате</t>
  </si>
  <si>
    <t>Расчет фот спорт</t>
  </si>
  <si>
    <t xml:space="preserve">Возмещение денежных средств тренерам </t>
  </si>
  <si>
    <t xml:space="preserve">Норматив на 1 педагогического работника, руб. </t>
  </si>
  <si>
    <t>Количество поездок на 1 спортсмена ,поездок в год</t>
  </si>
  <si>
    <t>Тариф 2025,руб.</t>
  </si>
  <si>
    <t>Тариф ясли 2025,руб.</t>
  </si>
  <si>
    <t>Тариф сад 2025г,руб.</t>
  </si>
  <si>
    <t>Кружка</t>
  </si>
  <si>
    <t>Ложка чайная</t>
  </si>
  <si>
    <t>Доска аудиторная</t>
  </si>
  <si>
    <t>Стол преподавателя</t>
  </si>
  <si>
    <t>Шкаф широкий со стеклом</t>
  </si>
  <si>
    <t>Стол ученический лабораторный</t>
  </si>
  <si>
    <t>Интерактивный стол</t>
  </si>
  <si>
    <t>Ноутбук</t>
  </si>
  <si>
    <t>Сканер</t>
  </si>
  <si>
    <t>Подавитель связи</t>
  </si>
  <si>
    <t>Проектор</t>
  </si>
  <si>
    <t>Стол детский регулирумый</t>
  </si>
  <si>
    <t>Шкаф для методических пособий</t>
  </si>
  <si>
    <t>Шкаф для одежды двухсекционный</t>
  </si>
  <si>
    <t>Шкаф для одежы трехсекционный</t>
  </si>
  <si>
    <t>Кровать четырехярусная с крышкой</t>
  </si>
  <si>
    <t>Скамья к шкафу</t>
  </si>
  <si>
    <t>Горшечница</t>
  </si>
  <si>
    <t>Полотеничница</t>
  </si>
  <si>
    <t>Полка подвесная-сушка</t>
  </si>
  <si>
    <t>Тумба выкатная</t>
  </si>
  <si>
    <t>Шкаф хозяйственный</t>
  </si>
  <si>
    <t>Ковровое покрытие</t>
  </si>
  <si>
    <t>Лестница для тренировок</t>
  </si>
  <si>
    <t>Фунциональная рама для занятия спортом</t>
  </si>
  <si>
    <t>Тонер-картридж</t>
  </si>
  <si>
    <t>Бумага для ксерокса</t>
  </si>
  <si>
    <t>Бумага для принтера</t>
  </si>
  <si>
    <t>Полотенце махровое</t>
  </si>
  <si>
    <t>Матрац пружинный</t>
  </si>
  <si>
    <t>Матрац кокосовый</t>
  </si>
  <si>
    <t>Значение 2025г., руб. в год</t>
  </si>
  <si>
    <t>Значение 2026-27г.г., руб. в год</t>
  </si>
  <si>
    <t>Тариф 2024г,руб.</t>
  </si>
  <si>
    <t>К дефл 2025г</t>
  </si>
  <si>
    <t>Тариф 2026,руб.</t>
  </si>
  <si>
    <t>Тариф 2025г, руб. с НДС</t>
  </si>
  <si>
    <t>Валка деревьев в городских условиях</t>
  </si>
  <si>
    <t xml:space="preserve">Вырезка сухих ветвей деревьев лиственных пород </t>
  </si>
  <si>
    <t>Кронирование деревьев с применением автогидроподъемника</t>
  </si>
  <si>
    <t xml:space="preserve">Благоустройство </t>
  </si>
  <si>
    <t xml:space="preserve">Погрузка  автотранспортное средство: дрова </t>
  </si>
  <si>
    <t xml:space="preserve">Перевозка груза </t>
  </si>
  <si>
    <t xml:space="preserve">Утилизация древестных остатков </t>
  </si>
  <si>
    <t>Тариф 2025г,руб.</t>
  </si>
  <si>
    <t xml:space="preserve">Норматив стоимости за выполнение работ по опиловке и валке деревьев в образовательных учреждениях г.Долгопрудного </t>
  </si>
  <si>
    <t xml:space="preserve">Норматив стоимости за выполнение работ по опиловке и валке деревьев </t>
  </si>
  <si>
    <t>Норматив расходов на заработную плату работников, непосредственно связанных с оказанием услуги по реализации основных общеобразовательных программ дошкольного образования</t>
  </si>
  <si>
    <t>Норматив стоимости услуг по обработке вентиляционной системы</t>
  </si>
  <si>
    <t xml:space="preserve">Справочник руководителя </t>
  </si>
  <si>
    <t>Возмещение расходов тренерам на участие в выездных мероприятиях (аренда, транспорт, проживание, питание)</t>
  </si>
  <si>
    <t xml:space="preserve">Норматив стоимости возмещения расходов тренерам на участие в выездных мероприятиях при оказании муниципальных  услуг муниципальными учреждениями дополнительного образования г.Долгопрудного </t>
  </si>
  <si>
    <t>Тариф (на основании данных о расходах за предыдущий период) на 2025г,руб.</t>
  </si>
  <si>
    <t>Возмещение расходов спортсменам  на участие в выездных мероприятиях (аренда, транспорт, проживание, питание)</t>
  </si>
  <si>
    <t xml:space="preserve">Норматив стоимости возмещения расходов спортсменам  на участие в выездных мероприятиях  при оказании муниципальных  услуг муниципальными учреждениями дополнительного образования г.Долгопрудного </t>
  </si>
  <si>
    <t>тариф 2025г, руб.</t>
  </si>
  <si>
    <t xml:space="preserve">Норматив стоимости строительных материалов при оказании муниципальных  услуг в области образования муниципальными учреждениями г.Долгопрудного </t>
  </si>
  <si>
    <t xml:space="preserve">Арматура для бачка </t>
  </si>
  <si>
    <t xml:space="preserve">Ерш для унитаза </t>
  </si>
  <si>
    <t>Кран-букса</t>
  </si>
  <si>
    <t>Перегородка</t>
  </si>
  <si>
    <t>Подводка гибкая</t>
  </si>
  <si>
    <t>Сифон</t>
  </si>
  <si>
    <t>Смеситель</t>
  </si>
  <si>
    <t xml:space="preserve">Унитаз </t>
  </si>
  <si>
    <t>Валик</t>
  </si>
  <si>
    <t>Ванночка для краски</t>
  </si>
  <si>
    <t xml:space="preserve">Гофра </t>
  </si>
  <si>
    <t xml:space="preserve">Грунтовка </t>
  </si>
  <si>
    <t>Краска</t>
  </si>
  <si>
    <t>Кисть</t>
  </si>
  <si>
    <t xml:space="preserve">Краскопульт </t>
  </si>
  <si>
    <t xml:space="preserve">Линолеум </t>
  </si>
  <si>
    <t>Пол наливной</t>
  </si>
  <si>
    <t>м</t>
  </si>
  <si>
    <t>Эмаль</t>
  </si>
  <si>
    <t xml:space="preserve">Норматив стоимости строительных материалов </t>
  </si>
  <si>
    <t>кг</t>
  </si>
  <si>
    <t>Уайт-спирит</t>
  </si>
  <si>
    <t>л.</t>
  </si>
  <si>
    <t>м.</t>
  </si>
  <si>
    <t xml:space="preserve">Кран-клапан </t>
  </si>
  <si>
    <t>Лента малярная</t>
  </si>
  <si>
    <t>Замок врезной</t>
  </si>
  <si>
    <t>Дверь межкомнатная</t>
  </si>
  <si>
    <t>Наличник</t>
  </si>
  <si>
    <t>Ручка дверная</t>
  </si>
  <si>
    <t>Фанера</t>
  </si>
  <si>
    <t>Новая тарифная ставка (оклад) и пр., руб.</t>
  </si>
  <si>
    <t>группа оплаты труда руков-ей</t>
  </si>
  <si>
    <t>I</t>
  </si>
  <si>
    <t>ДЮСШ г.Долгопрудного</t>
  </si>
  <si>
    <t>наименование организации</t>
  </si>
  <si>
    <t>Расчет фонда оплаты труда в месяц</t>
  </si>
  <si>
    <t>Утверждено</t>
  </si>
  <si>
    <t>Директор</t>
  </si>
  <si>
    <t>ДЮСШ г.Долгопрудный</t>
  </si>
  <si>
    <t>А.Н.Цепляев</t>
  </si>
  <si>
    <t>Кол-во штатных единиц</t>
  </si>
  <si>
    <t xml:space="preserve">окладные коэффициенты для руководителей, уровень образования, разряд  </t>
  </si>
  <si>
    <t>Группа по оплате труда, стаж , квалификационная категория</t>
  </si>
  <si>
    <t>Оклад,руб.</t>
  </si>
  <si>
    <t>Надбавки ,руб.</t>
  </si>
  <si>
    <t>Месячный фонд,руб.</t>
  </si>
  <si>
    <t>высшая</t>
  </si>
  <si>
    <t xml:space="preserve">первая </t>
  </si>
  <si>
    <t>вторая</t>
  </si>
  <si>
    <t>высшая(I)</t>
  </si>
  <si>
    <t>первая(I)</t>
  </si>
  <si>
    <t>высшая(II)</t>
  </si>
  <si>
    <t>первая(II)</t>
  </si>
  <si>
    <t>высшая(III)</t>
  </si>
  <si>
    <t>первая(III)</t>
  </si>
  <si>
    <t>высшая(IV)</t>
  </si>
  <si>
    <t>первая(IV)</t>
  </si>
  <si>
    <t>Зам.дир.по АХЧ</t>
  </si>
  <si>
    <t>Итого АУП</t>
  </si>
  <si>
    <t>высшее специалитет</t>
  </si>
  <si>
    <t>от 0 до 3</t>
  </si>
  <si>
    <t xml:space="preserve">от 3 до 5  </t>
  </si>
  <si>
    <t>от 5 до 10</t>
  </si>
  <si>
    <t>от 10 до 15</t>
  </si>
  <si>
    <t>от 15 до 20</t>
  </si>
  <si>
    <t>свыше 20</t>
  </si>
  <si>
    <t>высшее бакалавриат</t>
  </si>
  <si>
    <t>первая</t>
  </si>
  <si>
    <t>Другие пед.работники</t>
  </si>
  <si>
    <t>Итого работники спорт</t>
  </si>
  <si>
    <t>группа</t>
  </si>
  <si>
    <t>оплаты</t>
  </si>
  <si>
    <t>труда</t>
  </si>
  <si>
    <t>Балетмейстер</t>
  </si>
  <si>
    <t>Итого работники культуры</t>
  </si>
  <si>
    <t>Ведущий специалист по закупкам</t>
  </si>
  <si>
    <t>ведущий</t>
  </si>
  <si>
    <t>Старший специалист по закупкам</t>
  </si>
  <si>
    <t>старший</t>
  </si>
  <si>
    <t>Зав.хозяйством</t>
  </si>
  <si>
    <t>ср.общее</t>
  </si>
  <si>
    <t>ср.проф.</t>
  </si>
  <si>
    <t>выс.проф</t>
  </si>
  <si>
    <t>Вспомогательный персон.</t>
  </si>
  <si>
    <t>МОП</t>
  </si>
  <si>
    <t xml:space="preserve">ИТОГО               </t>
  </si>
  <si>
    <t>категория, образование,стаж</t>
  </si>
  <si>
    <t xml:space="preserve">часы: </t>
  </si>
  <si>
    <t>Надбавки за использование современных технологий и выслугу</t>
  </si>
  <si>
    <t>мз</t>
  </si>
  <si>
    <t>ПФДОД</t>
  </si>
  <si>
    <t>итого</t>
  </si>
  <si>
    <t>з/плата</t>
  </si>
  <si>
    <t>став.</t>
  </si>
  <si>
    <t>в т.ч. Повышение 10%</t>
  </si>
  <si>
    <t>в т.ч. Повышение20%</t>
  </si>
  <si>
    <t>пед.доп.обрзования, тренер-преподаватель</t>
  </si>
  <si>
    <t>тренер-преподаватель (спорт)</t>
  </si>
  <si>
    <t>концертмейстер</t>
  </si>
  <si>
    <t>высшее, 0-3</t>
  </si>
  <si>
    <t>высшее, 3-5</t>
  </si>
  <si>
    <t>высшее, 5-10</t>
  </si>
  <si>
    <t>высшее, 10-15</t>
  </si>
  <si>
    <t>высшее, 15-20</t>
  </si>
  <si>
    <t>высшее, более 20</t>
  </si>
  <si>
    <t>высшее бакалавр, 0-3</t>
  </si>
  <si>
    <t>высшее бакалавр, 3-5</t>
  </si>
  <si>
    <t>высшее бакалавр, 5-10</t>
  </si>
  <si>
    <t>высшее бакалавр, 10-15</t>
  </si>
  <si>
    <t>высшее бакалавр, 15-20</t>
  </si>
  <si>
    <t>высшее бакалавр, более 20</t>
  </si>
  <si>
    <t>среднее, 0-3</t>
  </si>
  <si>
    <t>среднее, 3-5</t>
  </si>
  <si>
    <t>среднее, 5-10</t>
  </si>
  <si>
    <t>среднее, 10-15</t>
  </si>
  <si>
    <t>среднее, 15-20</t>
  </si>
  <si>
    <t>тренер-преподаватель (с подушевой оплатой труда)</t>
  </si>
  <si>
    <t>тренер (спорт.подготовка)</t>
  </si>
  <si>
    <t>кол-во пед.работников</t>
  </si>
  <si>
    <t>средняя з.плата пед.раб.</t>
  </si>
  <si>
    <t>с 01.01.22 - по 31.08.22</t>
  </si>
  <si>
    <t>по окладу</t>
  </si>
  <si>
    <t>вредность</t>
  </si>
  <si>
    <t xml:space="preserve"> за подготовку и участие в соревнован различн уровня,%</t>
  </si>
  <si>
    <t>стимулир характера,%</t>
  </si>
  <si>
    <t xml:space="preserve"> за доп работы, связ с образоват процессом,%</t>
  </si>
  <si>
    <t>надбавка 5000, доплата до мрот</t>
  </si>
  <si>
    <t>ФОТ</t>
  </si>
  <si>
    <t>Норматив расходов на зарплату (спорт), руб. на 1 реб. В месяц</t>
  </si>
  <si>
    <t>Норматив расходов на зарплату (спорт), руб. на 1 реб. в год</t>
  </si>
  <si>
    <t>ед-ц</t>
  </si>
  <si>
    <t>АУП</t>
  </si>
  <si>
    <t>Работники спорта</t>
  </si>
  <si>
    <t>Работники культуры</t>
  </si>
  <si>
    <t>Вспомогат.перс.</t>
  </si>
  <si>
    <t>Итого по пр.персоналу</t>
  </si>
  <si>
    <t>Др.пед.раб.</t>
  </si>
  <si>
    <t>Др.пед.раб.спорт</t>
  </si>
  <si>
    <t>Пед. Работники</t>
  </si>
  <si>
    <t>в тч. ПФДОД</t>
  </si>
  <si>
    <t>МЗ</t>
  </si>
  <si>
    <t>СПОРТ</t>
  </si>
  <si>
    <t>Итого по пед работникам</t>
  </si>
  <si>
    <t>ВСЕГО</t>
  </si>
  <si>
    <t>Налог на имущество в зданиях для оказания услуг по дошкольным обр. программам</t>
  </si>
  <si>
    <t>Налог на имущество в зданиях для оказания услуг по общеобразовательным  обр. программам</t>
  </si>
  <si>
    <t>Земельный налог в зданиях для оказания услуг по дошкольным обр. программам</t>
  </si>
  <si>
    <t>Земельный налог в зданиях для оказания услуг по общеобразовательным  обр. программам</t>
  </si>
  <si>
    <t>Норматив, руб. на 1 кв. м в год</t>
  </si>
  <si>
    <t>Площадь зданий, кв.м.</t>
  </si>
  <si>
    <t xml:space="preserve">Норматив стоимости аренды помещений в образовательных учреждениях городского округа Долгопрудный </t>
  </si>
  <si>
    <t>Норматив расходов на заработную плату работников, непосредственно связанных с оказанием услуги по присмотру и уходу в дошкольных группах</t>
  </si>
  <si>
    <t>Норматив стоимости услуг связи в в общеобразовательных учреждениях в зданиях, используемых для реализации программ дошкольного образования.</t>
  </si>
  <si>
    <t>Норматив стоимости услуг связи в общеобразовательных учреждениях без учета зданий, используемых для реализации программ дошкольного образования.</t>
  </si>
  <si>
    <t>Норматив расходов на заработную плату работников, непосредственно связанных с содержанием имущества в общеобразовательных организациях в общеобразовательных учреждениях без учета зданий, используемых для реализации программ дошкольного образования.</t>
  </si>
  <si>
    <t>Дошкольные группы</t>
  </si>
  <si>
    <t>Общеобразовательные учреждения без учета дошкольных групп</t>
  </si>
  <si>
    <t>Норматив расходов на заработную плату работников, непосредственно связанных с содержанием имущества в  общеобразовательных учреждениях в зданиях, используемых для реализации программ дошкольного образования.</t>
  </si>
  <si>
    <t>Норматив стоимости услуг по предоставлению доступа к сети интернет в общеобразовательных учреждениях в зданиях, используемых для реализации программ дошкольного образования.</t>
  </si>
  <si>
    <t>Норматив стоимости услуг по предоставлению доступа к сети интернет в общеобразовательных учреждениях без учета зданий, используемых для реализации программ дошкольного образования.</t>
  </si>
  <si>
    <t>Норматив стоимости водоснабжения и водоотведения в общеобразовательных учреждениях в зданиях, используемых для реализации программ дошкольного образования.</t>
  </si>
  <si>
    <t>Норматив стоимости водоснабжения и водоотведения в общеобразовательных учреждениях в зданиях, используемых для реализации программ дошкольного образования с бассейном</t>
  </si>
  <si>
    <t>Норматив стоимости водоснабжения и водоотведения в общеобразовательных учреждениях без учета зданий, используемых для реализации программ дошкольного образования.</t>
  </si>
  <si>
    <t>Норматив стоимости теплоснабжения в общеобразовательных учреждениях в зданиях, используемых для реализации программ дошкольного образования.</t>
  </si>
  <si>
    <t>Норматив стоимости электропотребления в общеобразовательных учреждениях в зданиях, используемых для реализации программ дошкольного образования.</t>
  </si>
  <si>
    <t>Норматив стоимости электропотребления в общеобразовательных учреждениях без учета зданий, используемых для реализации программ дошкольного образования.</t>
  </si>
  <si>
    <t>Норматив стоимости вывоза твердых бытовых отходов в общеобразовательных учреждениях в зданиях, используемых для реализации программ дошкольного образования.</t>
  </si>
  <si>
    <t>Норматив стоимости вывоза твердых бытовых отходов в общеобразовательных учреждениях без учета зданий, используемых для реализации программ дошкольного образования.</t>
  </si>
  <si>
    <t>Норматив стоимости технического обслуживания столового и холодильного (технологического) оборудования в общеобразовательных учреждениях в зданиях, используемых для реализации программ дошкольного образования.</t>
  </si>
  <si>
    <t>Норматив стоимости технического обслуживания столового и холодильного (технологического) оборудования в общеобразовательных учреждениях без учета зданий, используемых для реализации программ дошкольного образования.</t>
  </si>
  <si>
    <t>Норматив стоимости вывоза и утилизации  ртутьсодержащих отходов (РСО) в общеобразовательных учреждениях в зданиях, используемых для реализации программ дошкольного образования и учреждениях дополнительного образования</t>
  </si>
  <si>
    <t>Норматив стоимости вывоза и утилизации  ртутьсодержащих отходов (РСО) в общеобразовательных учреждениях без учета зданий, используемых для реализации программ дошкольного образования.</t>
  </si>
  <si>
    <t>Норматив стоимости услуги саннитарно-эпидемиологической службы в общеобразовательных учреждениях в зданиях, используемых для реализации программ дошкольного образования без бассейна</t>
  </si>
  <si>
    <t>Норматив стоимости услуги саннитарно-эпидемиологической службы в общеобразовательных учреждениях в зданиях, используемых для реализации программ дошкольного образования с бассейном</t>
  </si>
  <si>
    <t>Норматив стоимости услуги саннитарно-эпидемиологической службы в общеобразовательных учреждениях без учета зданий, используемых для реализации программ дошкольного образования</t>
  </si>
  <si>
    <t>Норматив стоимости подписки на периодические издания в общеобразовательных учреждениях в зданиях, используемых для реализации программ дошкольного образования.</t>
  </si>
  <si>
    <t>Норматив стоимости подписки на периодические издания в общеобразовательных учреждениях без учета зданий, используемых для реализации программ дошкольного образования</t>
  </si>
  <si>
    <t>Норматив стоимости услуги по архивации документов в общеобразовательных учреждениях в зданиях, используемых для реализации программ дошкольного образования и учреждениях дополнительного образования детей</t>
  </si>
  <si>
    <t>Норматив стоимости услуги по архивации документов в общеобразовательных учреждениях без учета зданий, используемых для реализации программ дошкольного образования</t>
  </si>
  <si>
    <t>Норматив стоимости оборудования в общеобразовательных учреждениях без учета зданий, используемых для реализации программ дошкольного образования</t>
  </si>
  <si>
    <t>Норматив стоимости оборудования в общеобразовательных учреждениях в зданиях, используемых для реализации программ дошкольного образования</t>
  </si>
  <si>
    <t>Норматив стоимости потребления расходных материалов для  организаций, оказывающих услугу присмотр и уход в общеобразовательных учреждениях в зданиях, используемых для реализации программ дошкольного образования ( с прачечной)</t>
  </si>
  <si>
    <t>Норматив стоимости потребления расходных материалов для  организаций, оказывающих услугу присмотр и уход в общеобразовательных учреждениях в зданиях, используемых для реализации программ дошкольного образования ( без прачечной)</t>
  </si>
  <si>
    <t>В общеобразовательных учреждениях без учета зданий, используемых для реализации программ дошкольного образования.</t>
  </si>
  <si>
    <t>В общеобразовательных учреждениях без учета зданий, используемых для реализации программ дошкольного образования с бассейном</t>
  </si>
  <si>
    <t>В общеобразовательных учреждениях в зданиях, используемых для реализации программ дошкольного образования</t>
  </si>
  <si>
    <t xml:space="preserve"> Приложение №  1                      </t>
  </si>
  <si>
    <t xml:space="preserve">Приложение № 6                       </t>
  </si>
  <si>
    <t xml:space="preserve">Приложение № 13                     </t>
  </si>
  <si>
    <t xml:space="preserve">Приложение №  18                      </t>
  </si>
  <si>
    <t xml:space="preserve">Приложение №  43                      </t>
  </si>
  <si>
    <t xml:space="preserve">Приложение №  44                   </t>
  </si>
  <si>
    <t xml:space="preserve">Приложение №    51                    </t>
  </si>
  <si>
    <t xml:space="preserve">Приложение № 5                     </t>
  </si>
  <si>
    <t xml:space="preserve">Приложение № 4                     </t>
  </si>
  <si>
    <t xml:space="preserve">Приложение № 3                    </t>
  </si>
  <si>
    <t xml:space="preserve">Приложение № 2                    </t>
  </si>
  <si>
    <t>К дефл 2026г</t>
  </si>
  <si>
    <t>Тариф 2026г, руб. с НДС</t>
  </si>
  <si>
    <t>Тариф (на основании данных о расходах за предыдущий период) на 2026г,руб.</t>
  </si>
  <si>
    <t>Тариф ясли 2026,руб.</t>
  </si>
  <si>
    <t>Тариф сад 2026г,руб.</t>
  </si>
  <si>
    <r>
      <t xml:space="preserve">к приказу от  </t>
    </r>
    <r>
      <rPr>
        <u/>
        <sz val="12"/>
        <rFont val="Arial"/>
        <family val="2"/>
        <charset val="204"/>
      </rPr>
      <t>13.08.2025</t>
    </r>
    <r>
      <rPr>
        <sz val="12"/>
        <rFont val="Arial"/>
        <family val="2"/>
        <charset val="204"/>
      </rPr>
      <t xml:space="preserve">      № </t>
    </r>
    <r>
      <rPr>
        <u/>
        <sz val="12"/>
        <rFont val="Arial"/>
        <family val="2"/>
        <charset val="204"/>
      </rPr>
      <t>457</t>
    </r>
  </si>
  <si>
    <t>к приказу от  13.08.2025      № 457</t>
  </si>
  <si>
    <t>К дефл 2026</t>
  </si>
  <si>
    <t>тариф 2026г, руб.</t>
  </si>
  <si>
    <t>чистящее</t>
  </si>
  <si>
    <t>Стоимость имущества на  все учреждения</t>
  </si>
  <si>
    <t>Нормы стоимости услуги по сбору прочих неопасных отходов, непригодных для повторного использования</t>
  </si>
  <si>
    <t xml:space="preserve">Оказание услуг по вывозу мусора кузовом </t>
  </si>
  <si>
    <t xml:space="preserve">Кол-во контейнеров на 1 организацию </t>
  </si>
  <si>
    <t xml:space="preserve">                                     к приказу от 13.08.2025 № 457</t>
  </si>
  <si>
    <t>Нормативы стоимости расходов при оказании муниципальных  услуг в области образования муниципальными образовательными учреждениями г.Долгопрудного в 2025 году, применяемые для расчета нормативов стоимости муниципальных услуг на 2026-2027 год</t>
  </si>
  <si>
    <t xml:space="preserve">Приложение №   32                    </t>
  </si>
  <si>
    <t xml:space="preserve">Приложение №  35                     </t>
  </si>
  <si>
    <t xml:space="preserve">Приложение №  38                      </t>
  </si>
  <si>
    <t>доплата до МРОТ(23000)</t>
  </si>
  <si>
    <t>Ассистент по оказанию технической помощи</t>
  </si>
  <si>
    <t>специалист по закупкам</t>
  </si>
  <si>
    <t>Инженер</t>
  </si>
  <si>
    <t xml:space="preserve">ведущий инженер </t>
  </si>
  <si>
    <t>Заведующий хозяйством</t>
  </si>
  <si>
    <t>Лаборант</t>
  </si>
  <si>
    <t>лаборант</t>
  </si>
  <si>
    <t>высшее образование без предъявления требований к стажу работы или среднее профессиональное образование по программам подготовки специалистов среднего звена и стаж работы не менее 3 лет</t>
  </si>
  <si>
    <t>Уборщик  служебных помещений</t>
  </si>
  <si>
    <t>Делопроизводитель</t>
  </si>
  <si>
    <t>Оператор теплового пункта/ хлораторной установки</t>
  </si>
  <si>
    <t xml:space="preserve"> с   " 01 "сентября 2025года</t>
  </si>
  <si>
    <t>Руководитель структурного подразделения</t>
  </si>
  <si>
    <t>надбавка 10% за выслугу лет (по спорту)</t>
  </si>
  <si>
    <t>Количество сотрудников</t>
  </si>
  <si>
    <t>II группа оплаты труда</t>
  </si>
  <si>
    <t>IV группа оплаты труда</t>
  </si>
  <si>
    <t>Методист</t>
  </si>
  <si>
    <t xml:space="preserve"> от 2 до 5 лет</t>
  </si>
  <si>
    <t>от 5 до 8 лет</t>
  </si>
  <si>
    <t>от 8 до 12 лет</t>
  </si>
  <si>
    <t>от 12 лет</t>
  </si>
  <si>
    <t>среднее профессиональное, бакалавр</t>
  </si>
  <si>
    <t>Тренер</t>
  </si>
  <si>
    <t xml:space="preserve">средне (полное) общее образование и курсовая подготовка </t>
  </si>
  <si>
    <t>высшее  профессиональное образование</t>
  </si>
  <si>
    <t>3 разряд</t>
  </si>
  <si>
    <t>10 разряд</t>
  </si>
  <si>
    <t>3разряд</t>
  </si>
  <si>
    <t>вредность, выслуга</t>
  </si>
  <si>
    <t>Надбавки за использование современных технологий, квалификационную категорию</t>
  </si>
  <si>
    <t>к приказу от  13.08.2025  № 457</t>
  </si>
  <si>
    <t>Норматив стоимости дератизации,дизенсекции</t>
  </si>
  <si>
    <t>Норматив стоимости электропотребления в учреждениях дополнительного образования спортивной направленности</t>
  </si>
  <si>
    <t xml:space="preserve">Норматив стоимости по предоставлению прав использования программы ( неисключительная лицензия) для ЭВМ ПО "Программа для создания (управления) официальным сайтом бразовательных муниципальных учреждений г.Долгопрудного </t>
  </si>
  <si>
    <t>Услуги по проектированию и разработке информационных технологий для прикладных задач и тестированию программного обеспечения</t>
  </si>
  <si>
    <t>Налог на имущество в МАОУ школа №1  дошкольным обр. программам</t>
  </si>
  <si>
    <t>Налог на имущество в МАОУ школа №1 общеобразовательным  обр. программам</t>
  </si>
  <si>
    <t>Налог на имущество в МАОУ лицей №5 общеобразовательным  обр. программам</t>
  </si>
  <si>
    <t>Налог на имущество в МАОУ школа №6  дошкольным обр. программам</t>
  </si>
  <si>
    <t>Налог на имущество в МАОУ школа №6 общеобразовательным  обр. программам</t>
  </si>
  <si>
    <t>Налог на имущество в МБОУ школа №7  дошкольным обр. программам</t>
  </si>
  <si>
    <t>Налог на имущество в МБОУ школа №7 общеобразовательным  обр. программам</t>
  </si>
  <si>
    <t>Налог на имущество в МАОУ школа №9  дошкольным обр. программам</t>
  </si>
  <si>
    <t>Налог на имущество в МАОУ школа №9 общеобразовательным  обр. программам</t>
  </si>
  <si>
    <t>Налог на имущество в МАОУ СОШ школа №10  дошкольным обр. программам</t>
  </si>
  <si>
    <t>Налог на имущество в МАОУ СОШ школа №10 общеобразовательным  обр. программам</t>
  </si>
  <si>
    <t>Налог на имущество в МАОУ школа №11  дошкольным обр. программам</t>
  </si>
  <si>
    <t>Налог на имущество в МАОУ школа №11 общеобразовательным  обр. программам</t>
  </si>
  <si>
    <t>Налог на имущество в МАОУ гимназия №13  дошкольным обр. программам</t>
  </si>
  <si>
    <t>Налог на имущество в МАОУ гимназия №13 общеобразовательным  обр. программам</t>
  </si>
  <si>
    <t>Налог на имущество в МАОУ СОШ №14  дошкольным обр. программам</t>
  </si>
  <si>
    <t>Налог на имущество в МАОУ СОШ №14 общеобразовательным  обр. программам</t>
  </si>
  <si>
    <t>Налог на имущество в МАОУ СОШ №16  дошкольным обр. программам</t>
  </si>
  <si>
    <t>Налог на имущество в МАОУ СОШ №16 общеобразовательным  обр. программам</t>
  </si>
  <si>
    <t>Налог на имущество в МАОУ СОШ №17  дошкольным обр. программам</t>
  </si>
  <si>
    <t>Налог на имущество в МАОУ СОШ №17 общеобразовательным  обр. программам</t>
  </si>
  <si>
    <t>Налог на имущество Центр творчества "Московия"</t>
  </si>
  <si>
    <t xml:space="preserve">Налог на имущество Спортивная школа </t>
  </si>
  <si>
    <t>Налог на имущество руб.</t>
  </si>
  <si>
    <t>.0701</t>
  </si>
  <si>
    <t>.0702</t>
  </si>
  <si>
    <t>.0703</t>
  </si>
  <si>
    <t>БУ</t>
  </si>
  <si>
    <t>АУ</t>
  </si>
  <si>
    <t xml:space="preserve">Приложение №   40                   </t>
  </si>
  <si>
    <t xml:space="preserve">Количество часов в год круглосуточный пост </t>
  </si>
  <si>
    <t xml:space="preserve">Количество часов в год дополнительный пост </t>
  </si>
  <si>
    <t>Тариф (круглосуточный пост) 2026,руб.</t>
  </si>
  <si>
    <t>Тариф (дополнительный пост ) 2026,руб.</t>
  </si>
  <si>
    <t xml:space="preserve">на 1 пост охраны </t>
  </si>
  <si>
    <t>Норматив стоимости услуги по охране зданий в общеобразовательных учреждениях в зданиях, используемых для реализации программ дошкольного образования</t>
  </si>
  <si>
    <t>Норматив стоимости услуги по охране зданий в общеобразовательных учреждениях без учета зданий, используемых для реализации программ дошкольного образования</t>
  </si>
  <si>
    <t>Норматив стоимости услуги по охране зданий в организациях дополнительного образования</t>
  </si>
  <si>
    <t>Оказание услуг по организации и обслуживанию каналов связи до узла ЕИМТС</t>
  </si>
  <si>
    <t>Итого по предоставлению доступа к коналам связи до узла ЕИМТС</t>
  </si>
  <si>
    <t xml:space="preserve">Приложение № 6                        </t>
  </si>
  <si>
    <t xml:space="preserve">Приложение № 7                      </t>
  </si>
  <si>
    <t xml:space="preserve">Приложение №  8                   </t>
  </si>
  <si>
    <t xml:space="preserve">Приложение № 9                       </t>
  </si>
  <si>
    <t xml:space="preserve">Приложение № 10                  </t>
  </si>
  <si>
    <t xml:space="preserve">Приложение № 11                       </t>
  </si>
  <si>
    <t xml:space="preserve">Приложение № 12                    </t>
  </si>
  <si>
    <t xml:space="preserve">                                      Приложение № 14                        </t>
  </si>
  <si>
    <t xml:space="preserve">Приложение №  15                  </t>
  </si>
  <si>
    <t xml:space="preserve">Приложение № 16                   </t>
  </si>
  <si>
    <t xml:space="preserve">Приложение №  17                     </t>
  </si>
  <si>
    <t xml:space="preserve">Приложение №  19                 </t>
  </si>
  <si>
    <t xml:space="preserve">Приложение №   20             </t>
  </si>
  <si>
    <t xml:space="preserve">Приложение №   21                     </t>
  </si>
  <si>
    <t xml:space="preserve">Приложение №   22                   </t>
  </si>
  <si>
    <t xml:space="preserve">Приложение №  23                    </t>
  </si>
  <si>
    <t xml:space="preserve">Приложение №   24                   </t>
  </si>
  <si>
    <t xml:space="preserve">Приложение №  25                      </t>
  </si>
  <si>
    <t xml:space="preserve">Приложение №   26                    </t>
  </si>
  <si>
    <t xml:space="preserve">Приложение №    27                   </t>
  </si>
  <si>
    <t xml:space="preserve">Приложение № 28                      </t>
  </si>
  <si>
    <t xml:space="preserve">Приложение №   29                    </t>
  </si>
  <si>
    <t xml:space="preserve">Приложение №  30                  </t>
  </si>
  <si>
    <t xml:space="preserve">Приложение №   31                    </t>
  </si>
  <si>
    <t xml:space="preserve">Приложение №  51                    </t>
  </si>
  <si>
    <t xml:space="preserve">Норматив по уплате членских ( вступительных) взносов за участие комонд в спортивных соревнованиях  при оказании  услуг муниципальными учреждениями дополнительного образования г.Долгопрудного </t>
  </si>
  <si>
    <t>Членский (вступительный) взнос за участие команды по гандболу</t>
  </si>
  <si>
    <t xml:space="preserve">Членский (вступительный) взнос за участие команд по регби </t>
  </si>
  <si>
    <t xml:space="preserve">Членский (вступительный) взнос за участие команд по плаванию </t>
  </si>
  <si>
    <t>Членский (вступительный) взнос за участие команды по художественной гимнастики</t>
  </si>
  <si>
    <t>Количество выплат в год</t>
  </si>
  <si>
    <t xml:space="preserve">Норматив в год, руб. </t>
  </si>
  <si>
    <t xml:space="preserve">Вид выплаты </t>
  </si>
  <si>
    <t xml:space="preserve">Норматив по уплате членских ( вступительных) взносов за участие комонд в спортивных соревнованиях  при оказании  услуг муниципальными учреждениями дополнительного образования </t>
  </si>
  <si>
    <t>на количество выплат в год</t>
  </si>
  <si>
    <t>Налог на имущество в учреждениях дополнительного образования детей</t>
  </si>
  <si>
    <t>Налог на имущество в общеобразовательных учреждениях без учета зданий, используемых для реализации программ дошкольного образования</t>
  </si>
  <si>
    <t>Налог на имущество в общеобразовательных учреждениях в зданиях, используемых для реализации программ дошкольного образования.</t>
  </si>
  <si>
    <t xml:space="preserve">Приложение №   33                    </t>
  </si>
  <si>
    <t xml:space="preserve">Приложение №  34                      </t>
  </si>
  <si>
    <t xml:space="preserve">Приложение №  36                     </t>
  </si>
  <si>
    <t xml:space="preserve">Приложение №   37                    </t>
  </si>
  <si>
    <t xml:space="preserve">Приложение №   39                  </t>
  </si>
  <si>
    <t xml:space="preserve">Приложение №   40             </t>
  </si>
  <si>
    <t xml:space="preserve">Приложение №  41                        </t>
  </si>
  <si>
    <t xml:space="preserve">Приложение №  42                 </t>
  </si>
  <si>
    <t xml:space="preserve">Приложение №  43                    </t>
  </si>
  <si>
    <t xml:space="preserve">Приложение № 44                   </t>
  </si>
  <si>
    <t xml:space="preserve">Приложение №  45                    </t>
  </si>
  <si>
    <t xml:space="preserve">Приложение №   46                 </t>
  </si>
  <si>
    <t xml:space="preserve">Приложение №  47                    </t>
  </si>
  <si>
    <t xml:space="preserve">Приложение №  48                     </t>
  </si>
  <si>
    <t xml:space="preserve">Приложение №   49                  </t>
  </si>
  <si>
    <t xml:space="preserve">Приложение №    50                    </t>
  </si>
  <si>
    <t xml:space="preserve">Приложение №  52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</si>
</sst>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\ _₽_-;\-* #,##0.00\ _₽_-;_-* &quot;-&quot;??\ _₽_-;_-@_-"/>
    <numFmt numFmtId="164" formatCode="_-* #,##0.00_р_._-;\-* #,##0.00_р_._-;_-* &quot;-&quot;??_р_._-;_-@_-"/>
    <numFmt numFmtId="165" formatCode="0.0"/>
    <numFmt numFmtId="166" formatCode="0.000"/>
    <numFmt numFmtId="167" formatCode="#,##0.000"/>
    <numFmt numFmtId="168" formatCode="#,##0_ ;[Red]\-#,##0\ "/>
    <numFmt numFmtId="169" formatCode="0_ ;\-0\ "/>
    <numFmt numFmtId="170" formatCode="_-* #,##0_р_._-;\-* #,##0_р_._-;_-* &quot;-&quot;??_р_._-;_-@_-"/>
  </numFmts>
  <fonts count="52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family val="2"/>
      <charset val="204"/>
    </font>
    <font>
      <i/>
      <sz val="10"/>
      <name val="Arial Cyr"/>
      <family val="2"/>
      <charset val="204"/>
    </font>
    <font>
      <b/>
      <i/>
      <sz val="10"/>
      <name val="Arial Cyr"/>
      <charset val="204"/>
    </font>
    <font>
      <sz val="8"/>
      <name val="Arial Cyr"/>
      <charset val="204"/>
    </font>
    <font>
      <b/>
      <sz val="12"/>
      <name val="Arial Cyr"/>
      <family val="2"/>
      <charset val="204"/>
    </font>
    <font>
      <sz val="10"/>
      <name val="Arial Cyr"/>
      <family val="2"/>
      <charset val="204"/>
    </font>
    <font>
      <b/>
      <i/>
      <sz val="12"/>
      <name val="Arial Cyr"/>
      <family val="2"/>
      <charset val="204"/>
    </font>
    <font>
      <sz val="12"/>
      <name val="Arial"/>
      <family val="2"/>
      <charset val="204"/>
    </font>
    <font>
      <i/>
      <sz val="10"/>
      <name val="Arial Cyr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sz val="11"/>
      <name val="Calibri"/>
      <family val="2"/>
      <charset val="204"/>
    </font>
    <font>
      <b/>
      <sz val="12"/>
      <color rgb="FF26282F"/>
      <name val="Arial"/>
      <family val="2"/>
      <charset val="204"/>
    </font>
    <font>
      <u/>
      <sz val="10"/>
      <color theme="10"/>
      <name val="Arial Cyr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b/>
      <sz val="8"/>
      <name val="Arial Cyr"/>
      <charset val="204"/>
    </font>
    <font>
      <sz val="1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9"/>
      <name val="Arial Cyr"/>
      <charset val="204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name val="Arial"/>
      <family val="2"/>
    </font>
    <font>
      <b/>
      <sz val="9"/>
      <name val="Arial"/>
      <family val="2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family val="2"/>
      <charset val="204"/>
    </font>
    <font>
      <sz val="11"/>
      <color rgb="FFFF0000"/>
      <name val="Arial"/>
      <family val="2"/>
      <charset val="204"/>
    </font>
    <font>
      <sz val="10"/>
      <color rgb="FFFF0000"/>
      <name val="Arial Cyr"/>
      <charset val="204"/>
    </font>
    <font>
      <b/>
      <sz val="11"/>
      <name val="Arial"/>
      <family val="2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name val="Arial Cyr"/>
      <charset val="204"/>
    </font>
    <font>
      <b/>
      <sz val="11"/>
      <name val="Arial Cyr"/>
      <charset val="204"/>
    </font>
    <font>
      <b/>
      <u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1"/>
      <color theme="1"/>
      <name val="Arial"/>
      <family val="2"/>
      <charset val="204"/>
    </font>
    <font>
      <u/>
      <sz val="12"/>
      <name val="Arial"/>
      <family val="2"/>
      <charset val="204"/>
    </font>
    <font>
      <sz val="10"/>
      <color theme="1"/>
      <name val="Arial Cyr"/>
      <charset val="204"/>
    </font>
    <font>
      <sz val="10"/>
      <color theme="1"/>
      <name val="Arial Cyr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</cellStyleXfs>
  <cellXfs count="933">
    <xf numFmtId="0" fontId="0" fillId="0" borderId="0" xfId="0"/>
    <xf numFmtId="0" fontId="3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0" xfId="0" applyFont="1"/>
    <xf numFmtId="0" fontId="9" fillId="0" borderId="0" xfId="0" applyFont="1"/>
    <xf numFmtId="0" fontId="3" fillId="0" borderId="4" xfId="0" applyFont="1" applyBorder="1"/>
    <xf numFmtId="0" fontId="8" fillId="0" borderId="5" xfId="0" applyFont="1" applyBorder="1"/>
    <xf numFmtId="2" fontId="8" fillId="0" borderId="5" xfId="0" applyNumberFormat="1" applyFont="1" applyBorder="1"/>
    <xf numFmtId="0" fontId="7" fillId="0" borderId="0" xfId="0" applyFont="1" applyFill="1"/>
    <xf numFmtId="0" fontId="8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8" fillId="0" borderId="1" xfId="0" applyFont="1" applyFill="1" applyBorder="1"/>
    <xf numFmtId="0" fontId="8" fillId="0" borderId="4" xfId="0" applyFont="1" applyFill="1" applyBorder="1"/>
    <xf numFmtId="0" fontId="8" fillId="0" borderId="6" xfId="0" applyFont="1" applyFill="1" applyBorder="1"/>
    <xf numFmtId="0" fontId="8" fillId="0" borderId="7" xfId="0" applyFont="1" applyFill="1" applyBorder="1"/>
    <xf numFmtId="0" fontId="8" fillId="0" borderId="8" xfId="0" applyFont="1" applyFill="1" applyBorder="1"/>
    <xf numFmtId="0" fontId="8" fillId="0" borderId="9" xfId="0" applyFont="1" applyFill="1" applyBorder="1"/>
    <xf numFmtId="0" fontId="8" fillId="0" borderId="5" xfId="0" applyFont="1" applyFill="1" applyBorder="1"/>
    <xf numFmtId="0" fontId="10" fillId="0" borderId="0" xfId="0" applyFont="1" applyBorder="1" applyAlignment="1">
      <alignment vertical="top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wrapText="1"/>
    </xf>
    <xf numFmtId="0" fontId="10" fillId="0" borderId="0" xfId="0" applyFont="1" applyBorder="1"/>
    <xf numFmtId="0" fontId="0" fillId="0" borderId="0" xfId="0" applyAlignment="1">
      <alignment wrapText="1"/>
    </xf>
    <xf numFmtId="0" fontId="11" fillId="0" borderId="5" xfId="0" applyFont="1" applyBorder="1" applyAlignment="1">
      <alignment wrapText="1"/>
    </xf>
    <xf numFmtId="0" fontId="12" fillId="0" borderId="0" xfId="0" applyFont="1"/>
    <xf numFmtId="0" fontId="12" fillId="0" borderId="4" xfId="0" applyFont="1" applyBorder="1"/>
    <xf numFmtId="0" fontId="12" fillId="0" borderId="6" xfId="0" applyFont="1" applyBorder="1"/>
    <xf numFmtId="0" fontId="12" fillId="0" borderId="5" xfId="0" applyFont="1" applyBorder="1"/>
    <xf numFmtId="165" fontId="12" fillId="0" borderId="5" xfId="0" applyNumberFormat="1" applyFont="1" applyBorder="1"/>
    <xf numFmtId="0" fontId="12" fillId="0" borderId="8" xfId="0" applyFont="1" applyBorder="1"/>
    <xf numFmtId="165" fontId="12" fillId="0" borderId="8" xfId="0" applyNumberFormat="1" applyFont="1" applyBorder="1"/>
    <xf numFmtId="2" fontId="12" fillId="0" borderId="4" xfId="0" applyNumberFormat="1" applyFont="1" applyBorder="1"/>
    <xf numFmtId="2" fontId="12" fillId="0" borderId="8" xfId="0" applyNumberFormat="1" applyFont="1" applyBorder="1"/>
    <xf numFmtId="0" fontId="3" fillId="0" borderId="6" xfId="0" applyFont="1" applyBorder="1"/>
    <xf numFmtId="165" fontId="3" fillId="0" borderId="8" xfId="0" applyNumberFormat="1" applyFont="1" applyBorder="1"/>
    <xf numFmtId="0" fontId="8" fillId="0" borderId="0" xfId="0" applyFont="1" applyFill="1" applyBorder="1"/>
    <xf numFmtId="0" fontId="0" fillId="0" borderId="5" xfId="0" applyFont="1" applyBorder="1"/>
    <xf numFmtId="0" fontId="7" fillId="0" borderId="0" xfId="0" applyFont="1" applyBorder="1"/>
    <xf numFmtId="0" fontId="12" fillId="0" borderId="0" xfId="0" applyFont="1" applyBorder="1"/>
    <xf numFmtId="0" fontId="10" fillId="0" borderId="0" xfId="0" applyFont="1" applyAlignment="1">
      <alignment vertical="top"/>
    </xf>
    <xf numFmtId="0" fontId="8" fillId="0" borderId="0" xfId="0" applyFont="1" applyBorder="1"/>
    <xf numFmtId="0" fontId="6" fillId="0" borderId="4" xfId="0" applyFont="1" applyBorder="1"/>
    <xf numFmtId="0" fontId="6" fillId="0" borderId="0" xfId="0" applyFont="1"/>
    <xf numFmtId="0" fontId="6" fillId="0" borderId="6" xfId="0" applyFont="1" applyBorder="1"/>
    <xf numFmtId="0" fontId="6" fillId="0" borderId="5" xfId="0" applyFont="1" applyBorder="1"/>
    <xf numFmtId="0" fontId="10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8" fillId="0" borderId="4" xfId="0" applyFont="1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3" fillId="0" borderId="5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8" fillId="0" borderId="5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10" fillId="0" borderId="0" xfId="0" applyFont="1" applyAlignment="1">
      <alignment horizontal="justify" wrapText="1"/>
    </xf>
    <xf numFmtId="0" fontId="10" fillId="0" borderId="13" xfId="0" applyFont="1" applyBorder="1" applyAlignment="1">
      <alignment vertical="top" wrapText="1"/>
    </xf>
    <xf numFmtId="0" fontId="10" fillId="0" borderId="12" xfId="0" applyFont="1" applyBorder="1" applyAlignment="1">
      <alignment vertical="top" wrapText="1"/>
    </xf>
    <xf numFmtId="14" fontId="10" fillId="0" borderId="13" xfId="0" applyNumberFormat="1" applyFont="1" applyBorder="1" applyAlignment="1">
      <alignment vertical="top" wrapText="1"/>
    </xf>
    <xf numFmtId="0" fontId="10" fillId="0" borderId="15" xfId="0" applyFont="1" applyBorder="1" applyAlignment="1">
      <alignment horizontal="justify" wrapText="1"/>
    </xf>
    <xf numFmtId="0" fontId="10" fillId="0" borderId="14" xfId="0" applyFont="1" applyBorder="1" applyAlignment="1">
      <alignment vertical="top" wrapText="1"/>
    </xf>
    <xf numFmtId="0" fontId="14" fillId="0" borderId="0" xfId="0" applyFont="1" applyAlignment="1">
      <alignment wrapText="1"/>
    </xf>
    <xf numFmtId="0" fontId="8" fillId="0" borderId="5" xfId="0" applyFont="1" applyFill="1" applyBorder="1" applyAlignment="1">
      <alignment horizontal="center" vertical="top" wrapText="1"/>
    </xf>
    <xf numFmtId="0" fontId="0" fillId="0" borderId="5" xfId="0" applyFill="1" applyBorder="1" applyAlignment="1">
      <alignment horizontal="center" vertical="top" wrapText="1"/>
    </xf>
    <xf numFmtId="0" fontId="10" fillId="0" borderId="5" xfId="0" applyFont="1" applyBorder="1" applyAlignment="1">
      <alignment horizontal="justify" wrapText="1"/>
    </xf>
    <xf numFmtId="0" fontId="10" fillId="0" borderId="5" xfId="0" applyFont="1" applyBorder="1" applyAlignment="1">
      <alignment vertical="top" wrapText="1"/>
    </xf>
    <xf numFmtId="0" fontId="10" fillId="0" borderId="10" xfId="0" applyFont="1" applyBorder="1" applyAlignment="1">
      <alignment vertical="top" wrapText="1"/>
    </xf>
    <xf numFmtId="0" fontId="10" fillId="0" borderId="11" xfId="0" applyFont="1" applyBorder="1" applyAlignment="1">
      <alignment vertical="top" wrapText="1"/>
    </xf>
    <xf numFmtId="0" fontId="10" fillId="0" borderId="16" xfId="0" applyFont="1" applyBorder="1" applyAlignment="1">
      <alignment vertical="top" wrapText="1"/>
    </xf>
    <xf numFmtId="0" fontId="10" fillId="0" borderId="13" xfId="0" applyFont="1" applyBorder="1" applyAlignment="1">
      <alignment vertical="top" wrapText="1"/>
    </xf>
    <xf numFmtId="2" fontId="10" fillId="0" borderId="5" xfId="0" applyNumberFormat="1" applyFont="1" applyBorder="1" applyAlignment="1">
      <alignment horizontal="justify" wrapText="1"/>
    </xf>
    <xf numFmtId="166" fontId="10" fillId="0" borderId="5" xfId="0" applyNumberFormat="1" applyFont="1" applyBorder="1" applyAlignment="1">
      <alignment horizontal="justify" wrapText="1"/>
    </xf>
    <xf numFmtId="0" fontId="0" fillId="0" borderId="0" xfId="0" applyAlignment="1">
      <alignment vertical="top" wrapText="1"/>
    </xf>
    <xf numFmtId="0" fontId="10" fillId="0" borderId="5" xfId="0" applyFont="1" applyFill="1" applyBorder="1" applyAlignment="1">
      <alignment horizontal="justify" wrapText="1"/>
    </xf>
    <xf numFmtId="0" fontId="10" fillId="0" borderId="0" xfId="0" applyFont="1" applyBorder="1" applyAlignment="1"/>
    <xf numFmtId="0" fontId="0" fillId="0" borderId="5" xfId="0" applyBorder="1"/>
    <xf numFmtId="0" fontId="10" fillId="2" borderId="0" xfId="0" applyFont="1" applyFill="1" applyAlignment="1">
      <alignment horizontal="justify" wrapText="1"/>
    </xf>
    <xf numFmtId="0" fontId="0" fillId="2" borderId="0" xfId="0" applyFill="1"/>
    <xf numFmtId="0" fontId="10" fillId="2" borderId="13" xfId="0" applyFont="1" applyFill="1" applyBorder="1" applyAlignment="1">
      <alignment vertical="top" wrapText="1"/>
    </xf>
    <xf numFmtId="0" fontId="10" fillId="2" borderId="12" xfId="0" applyFont="1" applyFill="1" applyBorder="1" applyAlignment="1">
      <alignment vertical="top" wrapText="1"/>
    </xf>
    <xf numFmtId="14" fontId="10" fillId="2" borderId="13" xfId="0" applyNumberFormat="1" applyFont="1" applyFill="1" applyBorder="1" applyAlignment="1">
      <alignment vertical="top" wrapText="1"/>
    </xf>
    <xf numFmtId="0" fontId="14" fillId="2" borderId="0" xfId="0" applyFont="1" applyFill="1" applyAlignment="1">
      <alignment wrapText="1"/>
    </xf>
    <xf numFmtId="0" fontId="7" fillId="0" borderId="0" xfId="0" applyFont="1" applyFill="1" applyAlignment="1">
      <alignment vertical="top"/>
    </xf>
    <xf numFmtId="0" fontId="0" fillId="0" borderId="0" xfId="0" applyAlignment="1">
      <alignment vertical="top"/>
    </xf>
    <xf numFmtId="0" fontId="8" fillId="0" borderId="0" xfId="0" applyFont="1" applyFill="1" applyAlignment="1">
      <alignment vertical="top"/>
    </xf>
    <xf numFmtId="0" fontId="4" fillId="0" borderId="0" xfId="0" applyFont="1" applyFill="1" applyAlignment="1">
      <alignment vertical="top"/>
    </xf>
    <xf numFmtId="0" fontId="10" fillId="0" borderId="5" xfId="0" applyFont="1" applyBorder="1" applyAlignment="1">
      <alignment horizontal="justify" vertical="top" wrapText="1"/>
    </xf>
    <xf numFmtId="2" fontId="10" fillId="0" borderId="5" xfId="0" applyNumberFormat="1" applyFont="1" applyBorder="1" applyAlignment="1">
      <alignment horizontal="justify" vertical="top" wrapText="1"/>
    </xf>
    <xf numFmtId="166" fontId="10" fillId="0" borderId="5" xfId="0" applyNumberFormat="1" applyFont="1" applyBorder="1" applyAlignment="1">
      <alignment horizontal="justify" vertical="top" wrapText="1"/>
    </xf>
    <xf numFmtId="0" fontId="0" fillId="0" borderId="0" xfId="0" applyFill="1"/>
    <xf numFmtId="0" fontId="17" fillId="0" borderId="0" xfId="0" applyFont="1" applyBorder="1"/>
    <xf numFmtId="0" fontId="3" fillId="0" borderId="0" xfId="0" applyFont="1" applyFill="1"/>
    <xf numFmtId="0" fontId="0" fillId="0" borderId="0" xfId="0" applyFont="1"/>
    <xf numFmtId="0" fontId="0" fillId="0" borderId="0" xfId="0" applyFont="1" applyAlignment="1">
      <alignment wrapText="1"/>
    </xf>
    <xf numFmtId="0" fontId="0" fillId="0" borderId="4" xfId="0" applyFont="1" applyFill="1" applyBorder="1" applyAlignment="1">
      <alignment horizontal="center" vertical="top" wrapText="1"/>
    </xf>
    <xf numFmtId="0" fontId="0" fillId="0" borderId="0" xfId="0" applyFont="1" applyAlignment="1">
      <alignment horizontal="center" vertical="top" wrapText="1"/>
    </xf>
    <xf numFmtId="0" fontId="8" fillId="0" borderId="5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17" fillId="0" borderId="0" xfId="0" applyFont="1" applyAlignment="1">
      <alignment wrapText="1"/>
    </xf>
    <xf numFmtId="0" fontId="0" fillId="0" borderId="0" xfId="0" applyFont="1" applyAlignment="1">
      <alignment vertical="top" wrapText="1"/>
    </xf>
    <xf numFmtId="0" fontId="17" fillId="0" borderId="5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top" wrapText="1"/>
    </xf>
    <xf numFmtId="0" fontId="0" fillId="0" borderId="0" xfId="0" applyFont="1" applyAlignment="1">
      <alignment vertical="top"/>
    </xf>
    <xf numFmtId="0" fontId="8" fillId="0" borderId="1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center" vertical="top"/>
    </xf>
    <xf numFmtId="0" fontId="8" fillId="0" borderId="5" xfId="0" applyFont="1" applyFill="1" applyBorder="1" applyAlignment="1">
      <alignment horizontal="left" vertical="top"/>
    </xf>
    <xf numFmtId="0" fontId="0" fillId="0" borderId="5" xfId="0" applyFont="1" applyBorder="1" applyAlignment="1">
      <alignment horizontal="left" vertical="top"/>
    </xf>
    <xf numFmtId="0" fontId="0" fillId="0" borderId="5" xfId="0" applyBorder="1" applyAlignment="1">
      <alignment horizontal="left" vertical="top" wrapText="1"/>
    </xf>
    <xf numFmtId="0" fontId="0" fillId="0" borderId="5" xfId="0" applyFill="1" applyBorder="1" applyAlignment="1">
      <alignment horizontal="left" vertical="top" wrapText="1"/>
    </xf>
    <xf numFmtId="0" fontId="0" fillId="0" borderId="5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10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165" fontId="3" fillId="0" borderId="5" xfId="0" applyNumberFormat="1" applyFont="1" applyBorder="1"/>
    <xf numFmtId="0" fontId="18" fillId="0" borderId="5" xfId="0" applyFont="1" applyBorder="1"/>
    <xf numFmtId="0" fontId="18" fillId="0" borderId="0" xfId="0" applyFont="1"/>
    <xf numFmtId="0" fontId="19" fillId="0" borderId="0" xfId="0" applyFont="1" applyBorder="1"/>
    <xf numFmtId="0" fontId="18" fillId="0" borderId="0" xfId="0" applyFont="1" applyBorder="1"/>
    <xf numFmtId="0" fontId="19" fillId="0" borderId="0" xfId="0" applyFont="1" applyAlignment="1">
      <alignment wrapText="1"/>
    </xf>
    <xf numFmtId="0" fontId="0" fillId="0" borderId="5" xfId="0" applyBorder="1" applyAlignment="1">
      <alignment vertical="top"/>
    </xf>
    <xf numFmtId="0" fontId="0" fillId="0" borderId="5" xfId="0" applyBorder="1" applyAlignment="1">
      <alignment wrapText="1"/>
    </xf>
    <xf numFmtId="0" fontId="0" fillId="0" borderId="5" xfId="0" applyFill="1" applyBorder="1"/>
    <xf numFmtId="0" fontId="0" fillId="0" borderId="5" xfId="0" applyBorder="1" applyAlignment="1">
      <alignment vertical="center"/>
    </xf>
    <xf numFmtId="0" fontId="8" fillId="0" borderId="5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vertical="center"/>
    </xf>
    <xf numFmtId="0" fontId="10" fillId="0" borderId="5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 wrapText="1"/>
    </xf>
    <xf numFmtId="0" fontId="20" fillId="3" borderId="5" xfId="0" applyFont="1" applyFill="1" applyBorder="1"/>
    <xf numFmtId="0" fontId="10" fillId="2" borderId="0" xfId="0" applyFont="1" applyFill="1" applyBorder="1"/>
    <xf numFmtId="0" fontId="10" fillId="2" borderId="0" xfId="0" applyFont="1" applyFill="1" applyBorder="1" applyAlignment="1"/>
    <xf numFmtId="0" fontId="10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0" fillId="0" borderId="0" xfId="0" applyFont="1" applyBorder="1" applyAlignment="1">
      <alignment horizontal="right"/>
    </xf>
    <xf numFmtId="1" fontId="0" fillId="0" borderId="0" xfId="0" applyNumberFormat="1" applyFont="1" applyAlignment="1">
      <alignment horizontal="center" vertical="top"/>
    </xf>
    <xf numFmtId="1" fontId="0" fillId="0" borderId="5" xfId="0" applyNumberFormat="1" applyFont="1" applyBorder="1" applyAlignment="1">
      <alignment horizontal="center" vertical="top" wrapText="1"/>
    </xf>
    <xf numFmtId="2" fontId="0" fillId="0" borderId="5" xfId="0" applyNumberFormat="1" applyBorder="1"/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vertical="top" wrapText="1"/>
    </xf>
    <xf numFmtId="0" fontId="10" fillId="2" borderId="0" xfId="0" applyFont="1" applyFill="1" applyAlignment="1">
      <alignment vertical="top" wrapText="1"/>
    </xf>
    <xf numFmtId="0" fontId="10" fillId="2" borderId="0" xfId="0" applyFont="1" applyFill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0" xfId="0" applyFont="1" applyAlignment="1">
      <alignment vertical="top" wrapText="1"/>
    </xf>
    <xf numFmtId="0" fontId="10" fillId="2" borderId="0" xfId="0" applyFont="1" applyFill="1" applyAlignment="1">
      <alignment vertical="top" wrapText="1"/>
    </xf>
    <xf numFmtId="0" fontId="10" fillId="0" borderId="0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8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2" fontId="10" fillId="0" borderId="0" xfId="0" applyNumberFormat="1" applyFont="1" applyBorder="1" applyAlignment="1">
      <alignment horizontal="right"/>
    </xf>
    <xf numFmtId="2" fontId="0" fillId="0" borderId="0" xfId="0" applyNumberFormat="1"/>
    <xf numFmtId="2" fontId="0" fillId="0" borderId="5" xfId="0" applyNumberFormat="1" applyBorder="1" applyAlignment="1">
      <alignment vertical="center"/>
    </xf>
    <xf numFmtId="2" fontId="18" fillId="0" borderId="5" xfId="0" applyNumberFormat="1" applyFont="1" applyBorder="1"/>
    <xf numFmtId="0" fontId="10" fillId="0" borderId="0" xfId="0" applyFont="1" applyAlignment="1">
      <alignment vertical="top" wrapText="1"/>
    </xf>
    <xf numFmtId="0" fontId="0" fillId="0" borderId="4" xfId="0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0" fillId="0" borderId="5" xfId="0" applyFill="1" applyBorder="1" applyAlignment="1">
      <alignment horizontal="center" vertical="top" wrapText="1"/>
    </xf>
    <xf numFmtId="164" fontId="0" fillId="0" borderId="5" xfId="2" applyFont="1" applyBorder="1"/>
    <xf numFmtId="164" fontId="0" fillId="0" borderId="5" xfId="2" applyFont="1" applyBorder="1" applyAlignment="1">
      <alignment vertical="top"/>
    </xf>
    <xf numFmtId="164" fontId="8" fillId="0" borderId="5" xfId="2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top" wrapText="1"/>
    </xf>
    <xf numFmtId="0" fontId="23" fillId="0" borderId="0" xfId="0" applyFont="1" applyAlignment="1">
      <alignment horizontal="right"/>
    </xf>
    <xf numFmtId="4" fontId="23" fillId="0" borderId="0" xfId="0" applyNumberFormat="1" applyFont="1" applyAlignment="1">
      <alignment horizontal="left"/>
    </xf>
    <xf numFmtId="0" fontId="25" fillId="0" borderId="5" xfId="0" applyFont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4" fontId="24" fillId="0" borderId="5" xfId="0" applyNumberFormat="1" applyFont="1" applyBorder="1" applyAlignment="1">
      <alignment horizontal="right" vertical="center" wrapText="1"/>
    </xf>
    <xf numFmtId="16" fontId="25" fillId="0" borderId="5" xfId="0" applyNumberFormat="1" applyFont="1" applyBorder="1" applyAlignment="1">
      <alignment horizontal="center" vertical="center" wrapText="1"/>
    </xf>
    <xf numFmtId="3" fontId="25" fillId="0" borderId="5" xfId="0" applyNumberFormat="1" applyFont="1" applyBorder="1" applyAlignment="1">
      <alignment horizontal="center" vertical="center" wrapText="1"/>
    </xf>
    <xf numFmtId="0" fontId="24" fillId="0" borderId="8" xfId="0" applyFont="1" applyBorder="1" applyAlignment="1">
      <alignment vertical="center" wrapText="1"/>
    </xf>
    <xf numFmtId="0" fontId="25" fillId="0" borderId="8" xfId="0" applyFont="1" applyBorder="1" applyAlignment="1">
      <alignment horizontal="center" vertical="center" wrapText="1"/>
    </xf>
    <xf numFmtId="4" fontId="0" fillId="0" borderId="5" xfId="0" applyNumberFormat="1" applyBorder="1"/>
    <xf numFmtId="0" fontId="0" fillId="0" borderId="0" xfId="0" applyFont="1" applyBorder="1" applyAlignment="1"/>
    <xf numFmtId="3" fontId="25" fillId="0" borderId="5" xfId="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wrapText="1"/>
    </xf>
    <xf numFmtId="0" fontId="22" fillId="0" borderId="0" xfId="0" applyFont="1"/>
    <xf numFmtId="0" fontId="10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27" fillId="0" borderId="5" xfId="0" applyNumberFormat="1" applyFont="1" applyBorder="1" applyAlignment="1">
      <alignment horizontal="left" vertical="top" wrapText="1"/>
    </xf>
    <xf numFmtId="2" fontId="27" fillId="0" borderId="5" xfId="0" applyNumberFormat="1" applyFont="1" applyBorder="1" applyAlignment="1">
      <alignment horizontal="right"/>
    </xf>
    <xf numFmtId="1" fontId="27" fillId="0" borderId="5" xfId="0" applyNumberFormat="1" applyFont="1" applyBorder="1" applyAlignment="1">
      <alignment horizontal="center" vertical="center" wrapText="1"/>
    </xf>
    <xf numFmtId="1" fontId="0" fillId="0" borderId="5" xfId="0" applyNumberFormat="1" applyBorder="1" applyAlignment="1">
      <alignment horizontal="left"/>
    </xf>
    <xf numFmtId="0" fontId="27" fillId="0" borderId="5" xfId="0" applyFont="1" applyBorder="1" applyAlignment="1">
      <alignment horizontal="left" vertical="top" wrapText="1"/>
    </xf>
    <xf numFmtId="4" fontId="22" fillId="0" borderId="5" xfId="0" applyNumberFormat="1" applyFont="1" applyBorder="1"/>
    <xf numFmtId="0" fontId="10" fillId="0" borderId="0" xfId="0" applyFont="1" applyBorder="1" applyAlignment="1">
      <alignment horizontal="left" vertical="center"/>
    </xf>
    <xf numFmtId="0" fontId="0" fillId="0" borderId="5" xfId="0" applyBorder="1" applyAlignment="1">
      <alignment horizontal="center" wrapText="1"/>
    </xf>
    <xf numFmtId="0" fontId="27" fillId="0" borderId="5" xfId="0" applyNumberFormat="1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" fontId="0" fillId="0" borderId="5" xfId="0" applyNumberFormat="1" applyBorder="1" applyAlignment="1">
      <alignment vertical="center"/>
    </xf>
    <xf numFmtId="0" fontId="10" fillId="0" borderId="0" xfId="0" applyFont="1" applyAlignment="1">
      <alignment vertical="top" wrapText="1"/>
    </xf>
    <xf numFmtId="0" fontId="0" fillId="0" borderId="4" xfId="0" applyFill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/>
    </xf>
    <xf numFmtId="0" fontId="10" fillId="0" borderId="0" xfId="0" applyFont="1" applyAlignment="1">
      <alignment vertical="top" wrapText="1"/>
    </xf>
    <xf numFmtId="0" fontId="0" fillId="0" borderId="5" xfId="0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0" fillId="0" borderId="2" xfId="0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4" fontId="0" fillId="0" borderId="3" xfId="0" applyNumberFormat="1" applyBorder="1" applyAlignment="1">
      <alignment horizontal="right" vertical="center"/>
    </xf>
    <xf numFmtId="4" fontId="22" fillId="0" borderId="5" xfId="0" applyNumberFormat="1" applyFont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4" fontId="0" fillId="0" borderId="0" xfId="0" applyNumberFormat="1" applyBorder="1" applyAlignment="1">
      <alignment vertical="center"/>
    </xf>
    <xf numFmtId="0" fontId="29" fillId="0" borderId="5" xfId="0" applyFont="1" applyBorder="1" applyAlignment="1">
      <alignment horizontal="center" vertical="top" wrapText="1"/>
    </xf>
    <xf numFmtId="0" fontId="30" fillId="0" borderId="5" xfId="0" applyFont="1" applyBorder="1" applyAlignment="1">
      <alignment horizontal="center" vertical="top" wrapText="1"/>
    </xf>
    <xf numFmtId="0" fontId="30" fillId="0" borderId="5" xfId="0" applyFont="1" applyBorder="1" applyAlignment="1">
      <alignment horizontal="justify" vertical="top" wrapText="1"/>
    </xf>
    <xf numFmtId="4" fontId="30" fillId="0" borderId="5" xfId="0" applyNumberFormat="1" applyFont="1" applyBorder="1" applyAlignment="1">
      <alignment horizontal="center" vertical="top" wrapText="1"/>
    </xf>
    <xf numFmtId="0" fontId="0" fillId="0" borderId="0" xfId="0" applyAlignment="1">
      <alignment horizontal="right"/>
    </xf>
    <xf numFmtId="4" fontId="0" fillId="0" borderId="5" xfId="0" applyNumberFormat="1" applyBorder="1" applyAlignment="1">
      <alignment horizontal="center"/>
    </xf>
    <xf numFmtId="4" fontId="0" fillId="0" borderId="5" xfId="0" applyNumberFormat="1" applyBorder="1" applyAlignment="1">
      <alignment horizontal="center" vertical="center"/>
    </xf>
    <xf numFmtId="0" fontId="13" fillId="0" borderId="19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 wrapText="1"/>
    </xf>
    <xf numFmtId="0" fontId="32" fillId="0" borderId="1" xfId="0" applyFont="1" applyBorder="1" applyAlignment="1">
      <alignment wrapText="1"/>
    </xf>
    <xf numFmtId="0" fontId="32" fillId="0" borderId="5" xfId="0" applyFont="1" applyBorder="1" applyAlignment="1"/>
    <xf numFmtId="0" fontId="32" fillId="0" borderId="5" xfId="0" applyFont="1" applyBorder="1" applyAlignment="1">
      <alignment horizontal="center"/>
    </xf>
    <xf numFmtId="0" fontId="32" fillId="0" borderId="5" xfId="0" applyFont="1" applyBorder="1" applyAlignment="1">
      <alignment horizontal="center" vertical="center" wrapText="1"/>
    </xf>
    <xf numFmtId="0" fontId="33" fillId="0" borderId="5" xfId="0" applyFont="1" applyFill="1" applyBorder="1" applyAlignment="1">
      <alignment horizontal="center" vertical="center" wrapText="1"/>
    </xf>
    <xf numFmtId="0" fontId="21" fillId="0" borderId="5" xfId="0" applyFont="1" applyBorder="1" applyAlignment="1">
      <alignment wrapText="1"/>
    </xf>
    <xf numFmtId="0" fontId="8" fillId="0" borderId="1" xfId="0" applyFont="1" applyFill="1" applyBorder="1" applyAlignment="1">
      <alignment horizontal="center"/>
    </xf>
    <xf numFmtId="4" fontId="0" fillId="0" borderId="5" xfId="0" applyNumberFormat="1" applyFill="1" applyBorder="1" applyAlignment="1">
      <alignment vertical="center"/>
    </xf>
    <xf numFmtId="0" fontId="31" fillId="0" borderId="0" xfId="0" applyFont="1" applyAlignment="1">
      <alignment horizontal="right" wrapText="1"/>
    </xf>
    <xf numFmtId="0" fontId="20" fillId="5" borderId="5" xfId="0" applyFont="1" applyFill="1" applyBorder="1"/>
    <xf numFmtId="0" fontId="6" fillId="5" borderId="0" xfId="0" applyFont="1" applyFill="1" applyBorder="1"/>
    <xf numFmtId="0" fontId="20" fillId="5" borderId="0" xfId="0" applyFont="1" applyFill="1" applyBorder="1"/>
    <xf numFmtId="4" fontId="0" fillId="0" borderId="5" xfId="0" applyNumberFormat="1" applyFont="1" applyBorder="1" applyAlignment="1">
      <alignment vertical="center"/>
    </xf>
    <xf numFmtId="4" fontId="27" fillId="0" borderId="5" xfId="0" applyNumberFormat="1" applyFont="1" applyBorder="1" applyAlignment="1">
      <alignment horizontal="center"/>
    </xf>
    <xf numFmtId="4" fontId="26" fillId="0" borderId="5" xfId="0" applyNumberFormat="1" applyFont="1" applyBorder="1" applyAlignment="1">
      <alignment horizontal="center"/>
    </xf>
    <xf numFmtId="4" fontId="32" fillId="0" borderId="5" xfId="0" applyNumberFormat="1" applyFont="1" applyBorder="1" applyAlignment="1">
      <alignment horizontal="center"/>
    </xf>
    <xf numFmtId="0" fontId="10" fillId="2" borderId="0" xfId="0" applyFont="1" applyFill="1" applyAlignment="1">
      <alignment vertical="top" wrapText="1"/>
    </xf>
    <xf numFmtId="0" fontId="10" fillId="0" borderId="0" xfId="0" applyFont="1" applyBorder="1" applyAlignment="1">
      <alignment horizontal="left"/>
    </xf>
    <xf numFmtId="0" fontId="0" fillId="0" borderId="0" xfId="0" applyAlignment="1">
      <alignment wrapText="1"/>
    </xf>
    <xf numFmtId="0" fontId="10" fillId="0" borderId="0" xfId="0" applyFont="1" applyBorder="1" applyAlignment="1">
      <alignment horizontal="right"/>
    </xf>
    <xf numFmtId="0" fontId="8" fillId="0" borderId="1" xfId="0" applyFont="1" applyFill="1" applyBorder="1" applyAlignment="1">
      <alignment horizontal="center"/>
    </xf>
    <xf numFmtId="4" fontId="0" fillId="3" borderId="5" xfId="0" applyNumberFormat="1" applyFill="1" applyBorder="1"/>
    <xf numFmtId="4" fontId="10" fillId="0" borderId="5" xfId="0" applyNumberFormat="1" applyFont="1" applyBorder="1" applyAlignment="1">
      <alignment wrapText="1"/>
    </xf>
    <xf numFmtId="4" fontId="10" fillId="0" borderId="0" xfId="0" applyNumberFormat="1" applyFont="1" applyAlignment="1">
      <alignment wrapText="1"/>
    </xf>
    <xf numFmtId="4" fontId="10" fillId="4" borderId="0" xfId="0" applyNumberFormat="1" applyFont="1" applyFill="1" applyAlignment="1">
      <alignment wrapText="1"/>
    </xf>
    <xf numFmtId="4" fontId="0" fillId="0" borderId="5" xfId="2" applyNumberFormat="1" applyFont="1" applyBorder="1"/>
    <xf numFmtId="4" fontId="0" fillId="0" borderId="5" xfId="2" applyNumberFormat="1" applyFont="1" applyFill="1" applyBorder="1"/>
    <xf numFmtId="0" fontId="10" fillId="0" borderId="0" xfId="0" applyFont="1" applyBorder="1" applyAlignment="1">
      <alignment horizontal="center" vertical="top" wrapText="1"/>
    </xf>
    <xf numFmtId="0" fontId="10" fillId="0" borderId="0" xfId="0" applyFont="1" applyFill="1" applyBorder="1" applyAlignment="1">
      <alignment horizontal="center" vertical="top" wrapText="1"/>
    </xf>
    <xf numFmtId="165" fontId="3" fillId="0" borderId="0" xfId="0" applyNumberFormat="1" applyFont="1" applyFill="1" applyBorder="1"/>
    <xf numFmtId="2" fontId="18" fillId="0" borderId="5" xfId="0" applyNumberFormat="1" applyFont="1" applyFill="1" applyBorder="1"/>
    <xf numFmtId="4" fontId="18" fillId="0" borderId="5" xfId="0" applyNumberFormat="1" applyFont="1" applyFill="1" applyBorder="1" applyAlignment="1">
      <alignment vertical="center"/>
    </xf>
    <xf numFmtId="0" fontId="0" fillId="5" borderId="0" xfId="0" applyFill="1"/>
    <xf numFmtId="0" fontId="21" fillId="0" borderId="5" xfId="0" applyFont="1" applyBorder="1" applyAlignment="1">
      <alignment vertical="top" wrapText="1"/>
    </xf>
    <xf numFmtId="2" fontId="21" fillId="0" borderId="5" xfId="0" applyNumberFormat="1" applyFont="1" applyBorder="1" applyAlignment="1">
      <alignment vertical="top" wrapText="1"/>
    </xf>
    <xf numFmtId="1" fontId="21" fillId="5" borderId="5" xfId="0" applyNumberFormat="1" applyFont="1" applyFill="1" applyBorder="1" applyAlignment="1">
      <alignment horizontal="center" vertical="top" wrapText="1"/>
    </xf>
    <xf numFmtId="0" fontId="21" fillId="5" borderId="5" xfId="0" applyFont="1" applyFill="1" applyBorder="1" applyAlignment="1">
      <alignment vertical="top" wrapText="1"/>
    </xf>
    <xf numFmtId="1" fontId="21" fillId="5" borderId="5" xfId="0" applyNumberFormat="1" applyFont="1" applyFill="1" applyBorder="1" applyAlignment="1">
      <alignment horizontal="center" vertical="top"/>
    </xf>
    <xf numFmtId="0" fontId="21" fillId="5" borderId="5" xfId="0" applyFont="1" applyFill="1" applyBorder="1" applyAlignment="1">
      <alignment vertical="center" wrapText="1"/>
    </xf>
    <xf numFmtId="0" fontId="0" fillId="0" borderId="4" xfId="0" applyFill="1" applyBorder="1" applyAlignment="1">
      <alignment horizontal="center" vertical="top" wrapText="1"/>
    </xf>
    <xf numFmtId="0" fontId="10" fillId="0" borderId="0" xfId="0" applyFont="1" applyAlignment="1">
      <alignment vertical="top" wrapText="1"/>
    </xf>
    <xf numFmtId="10" fontId="32" fillId="0" borderId="5" xfId="0" applyNumberFormat="1" applyFont="1" applyBorder="1" applyAlignment="1">
      <alignment horizontal="center"/>
    </xf>
    <xf numFmtId="4" fontId="21" fillId="5" borderId="5" xfId="0" applyNumberFormat="1" applyFont="1" applyFill="1" applyBorder="1" applyAlignment="1">
      <alignment horizontal="center" vertical="center"/>
    </xf>
    <xf numFmtId="0" fontId="34" fillId="5" borderId="5" xfId="0" applyFont="1" applyFill="1" applyBorder="1" applyAlignment="1">
      <alignment vertical="top" wrapText="1"/>
    </xf>
    <xf numFmtId="4" fontId="8" fillId="0" borderId="0" xfId="0" applyNumberFormat="1" applyFont="1" applyFill="1" applyBorder="1"/>
    <xf numFmtId="4" fontId="20" fillId="3" borderId="5" xfId="0" applyNumberFormat="1" applyFont="1" applyFill="1" applyBorder="1"/>
    <xf numFmtId="4" fontId="0" fillId="3" borderId="5" xfId="0" applyNumberFormat="1" applyFont="1" applyFill="1" applyBorder="1"/>
    <xf numFmtId="0" fontId="10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8" fillId="0" borderId="1" xfId="0" applyFont="1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4" fontId="0" fillId="0" borderId="0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10" fillId="0" borderId="0" xfId="0" applyFont="1" applyAlignment="1">
      <alignment vertical="top" wrapText="1"/>
    </xf>
    <xf numFmtId="0" fontId="0" fillId="0" borderId="5" xfId="0" applyBorder="1" applyAlignment="1">
      <alignment horizontal="center" vertical="top" wrapText="1"/>
    </xf>
    <xf numFmtId="0" fontId="32" fillId="0" borderId="5" xfId="0" applyFont="1" applyBorder="1" applyAlignment="1">
      <alignment wrapText="1"/>
    </xf>
    <xf numFmtId="0" fontId="32" fillId="0" borderId="5" xfId="0" applyFont="1" applyBorder="1" applyAlignment="1">
      <alignment horizontal="justify" wrapText="1"/>
    </xf>
    <xf numFmtId="4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center" vertical="top" wrapText="1"/>
    </xf>
    <xf numFmtId="0" fontId="28" fillId="0" borderId="1" xfId="0" applyNumberFormat="1" applyFont="1" applyBorder="1" applyAlignment="1">
      <alignment horizontal="center" vertical="top" wrapText="1"/>
    </xf>
    <xf numFmtId="0" fontId="28" fillId="0" borderId="2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10" fillId="0" borderId="0" xfId="0" applyFont="1" applyBorder="1" applyAlignment="1"/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/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8" fillId="0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0" fillId="0" borderId="0" xfId="0" applyFont="1" applyFill="1" applyAlignment="1">
      <alignment vertical="top" wrapText="1"/>
    </xf>
    <xf numFmtId="0" fontId="0" fillId="0" borderId="4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2" fillId="0" borderId="1" xfId="0" applyFont="1" applyBorder="1" applyAlignment="1">
      <alignment vertical="center" wrapText="1"/>
    </xf>
    <xf numFmtId="0" fontId="30" fillId="0" borderId="5" xfId="0" applyFont="1" applyBorder="1"/>
    <xf numFmtId="0" fontId="30" fillId="0" borderId="5" xfId="0" applyFont="1" applyFill="1" applyBorder="1"/>
    <xf numFmtId="0" fontId="31" fillId="0" borderId="5" xfId="0" applyFont="1" applyBorder="1" applyAlignment="1">
      <alignment horizontal="center" vertical="center" wrapText="1"/>
    </xf>
    <xf numFmtId="4" fontId="22" fillId="0" borderId="5" xfId="0" applyNumberFormat="1" applyFont="1" applyBorder="1" applyAlignment="1">
      <alignment horizontal="center" vertical="center"/>
    </xf>
    <xf numFmtId="0" fontId="27" fillId="0" borderId="5" xfId="0" applyNumberFormat="1" applyFont="1" applyBorder="1" applyAlignment="1">
      <alignment horizontal="center" vertical="top" wrapText="1"/>
    </xf>
    <xf numFmtId="1" fontId="27" fillId="0" borderId="5" xfId="0" applyNumberFormat="1" applyFont="1" applyBorder="1" applyAlignment="1">
      <alignment horizontal="center"/>
    </xf>
    <xf numFmtId="0" fontId="27" fillId="0" borderId="5" xfId="0" applyFont="1" applyBorder="1" applyAlignment="1">
      <alignment horizontal="center" vertical="top" wrapText="1"/>
    </xf>
    <xf numFmtId="4" fontId="22" fillId="0" borderId="5" xfId="0" applyNumberFormat="1" applyFont="1" applyBorder="1" applyAlignment="1">
      <alignment horizontal="center"/>
    </xf>
    <xf numFmtId="2" fontId="27" fillId="0" borderId="5" xfId="0" applyNumberFormat="1" applyFon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2" fontId="27" fillId="0" borderId="5" xfId="0" applyNumberFormat="1" applyFont="1" applyBorder="1" applyAlignment="1">
      <alignment horizontal="center" vertical="center"/>
    </xf>
    <xf numFmtId="1" fontId="27" fillId="0" borderId="5" xfId="0" applyNumberFormat="1" applyFon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4" fontId="18" fillId="0" borderId="5" xfId="0" applyNumberFormat="1" applyFont="1" applyBorder="1" applyAlignment="1">
      <alignment vertical="center"/>
    </xf>
    <xf numFmtId="0" fontId="18" fillId="0" borderId="5" xfId="0" applyFont="1" applyFill="1" applyBorder="1" applyAlignment="1">
      <alignment horizontal="right" vertical="center" wrapText="1"/>
    </xf>
    <xf numFmtId="0" fontId="18" fillId="0" borderId="5" xfId="0" applyFont="1" applyFill="1" applyBorder="1" applyAlignment="1">
      <alignment horizontal="right"/>
    </xf>
    <xf numFmtId="2" fontId="18" fillId="0" borderId="5" xfId="0" applyNumberFormat="1" applyFont="1" applyBorder="1" applyAlignment="1">
      <alignment horizontal="right"/>
    </xf>
    <xf numFmtId="4" fontId="18" fillId="0" borderId="5" xfId="0" applyNumberFormat="1" applyFont="1" applyBorder="1" applyAlignment="1">
      <alignment horizontal="right" vertical="center"/>
    </xf>
    <xf numFmtId="0" fontId="30" fillId="0" borderId="5" xfId="0" applyFont="1" applyBorder="1" applyAlignment="1">
      <alignment horizontal="center" vertical="center" wrapText="1"/>
    </xf>
    <xf numFmtId="4" fontId="30" fillId="0" borderId="5" xfId="0" applyNumberFormat="1" applyFont="1" applyBorder="1" applyAlignment="1">
      <alignment horizontal="center" vertical="center" wrapText="1"/>
    </xf>
    <xf numFmtId="167" fontId="30" fillId="0" borderId="5" xfId="0" applyNumberFormat="1" applyFont="1" applyBorder="1" applyAlignment="1">
      <alignment horizontal="center" vertical="top" wrapText="1"/>
    </xf>
    <xf numFmtId="2" fontId="30" fillId="0" borderId="5" xfId="0" applyNumberFormat="1" applyFont="1" applyFill="1" applyBorder="1" applyAlignment="1">
      <alignment horizontal="center" vertical="top" wrapText="1"/>
    </xf>
    <xf numFmtId="0" fontId="10" fillId="0" borderId="0" xfId="0" applyFont="1" applyFill="1" applyBorder="1" applyAlignment="1"/>
    <xf numFmtId="0" fontId="10" fillId="0" borderId="0" xfId="0" applyFont="1" applyFill="1" applyAlignment="1">
      <alignment wrapText="1"/>
    </xf>
    <xf numFmtId="0" fontId="30" fillId="0" borderId="5" xfId="0" applyFont="1" applyFill="1" applyBorder="1" applyAlignment="1">
      <alignment horizontal="center" vertical="top" wrapText="1"/>
    </xf>
    <xf numFmtId="4" fontId="0" fillId="0" borderId="5" xfId="0" applyNumberFormat="1" applyFill="1" applyBorder="1" applyAlignment="1">
      <alignment horizontal="center"/>
    </xf>
    <xf numFmtId="0" fontId="11" fillId="0" borderId="5" xfId="0" applyFont="1" applyBorder="1" applyAlignment="1">
      <alignment horizontal="center" vertical="center" wrapText="1"/>
    </xf>
    <xf numFmtId="167" fontId="0" fillId="3" borderId="5" xfId="0" applyNumberFormat="1" applyFill="1" applyBorder="1"/>
    <xf numFmtId="0" fontId="0" fillId="5" borderId="5" xfId="0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9" fillId="0" borderId="5" xfId="0" applyFont="1" applyBorder="1"/>
    <xf numFmtId="2" fontId="12" fillId="0" borderId="5" xfId="0" applyNumberFormat="1" applyFont="1" applyBorder="1"/>
    <xf numFmtId="0" fontId="3" fillId="0" borderId="5" xfId="0" applyFont="1" applyBorder="1"/>
    <xf numFmtId="0" fontId="7" fillId="0" borderId="5" xfId="0" applyFont="1" applyBorder="1"/>
    <xf numFmtId="0" fontId="2" fillId="0" borderId="5" xfId="0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4" fontId="17" fillId="0" borderId="5" xfId="0" applyNumberFormat="1" applyFont="1" applyBorder="1" applyAlignment="1">
      <alignment vertical="center" wrapText="1"/>
    </xf>
    <xf numFmtId="0" fontId="0" fillId="0" borderId="5" xfId="0" applyFont="1" applyBorder="1" applyAlignment="1">
      <alignment horizontal="left" vertical="center"/>
    </xf>
    <xf numFmtId="0" fontId="0" fillId="0" borderId="5" xfId="0" applyFill="1" applyBorder="1" applyAlignment="1">
      <alignment horizontal="left" vertical="center" wrapText="1"/>
    </xf>
    <xf numFmtId="4" fontId="0" fillId="0" borderId="5" xfId="0" applyNumberFormat="1" applyFont="1" applyBorder="1" applyAlignment="1">
      <alignment vertical="center" wrapText="1"/>
    </xf>
    <xf numFmtId="0" fontId="35" fillId="0" borderId="0" xfId="0" applyFont="1"/>
    <xf numFmtId="0" fontId="10" fillId="0" borderId="0" xfId="0" applyFont="1" applyAlignment="1">
      <alignment vertical="top" wrapText="1"/>
    </xf>
    <xf numFmtId="164" fontId="8" fillId="5" borderId="5" xfId="2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2" fontId="0" fillId="0" borderId="5" xfId="0" applyNumberFormat="1" applyFill="1" applyBorder="1" applyAlignment="1">
      <alignment vertical="center"/>
    </xf>
    <xf numFmtId="0" fontId="13" fillId="0" borderId="0" xfId="0" applyFont="1" applyFill="1" applyAlignment="1">
      <alignment horizontal="center"/>
    </xf>
    <xf numFmtId="0" fontId="8" fillId="0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vertical="center"/>
    </xf>
    <xf numFmtId="4" fontId="0" fillId="0" borderId="5" xfId="0" applyNumberFormat="1" applyFill="1" applyBorder="1" applyAlignment="1">
      <alignment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top"/>
    </xf>
    <xf numFmtId="0" fontId="0" fillId="0" borderId="5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top" wrapText="1"/>
    </xf>
    <xf numFmtId="0" fontId="10" fillId="0" borderId="0" xfId="0" applyFont="1" applyAlignment="1">
      <alignment vertical="top" wrapText="1"/>
    </xf>
    <xf numFmtId="0" fontId="0" fillId="0" borderId="5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center"/>
    </xf>
    <xf numFmtId="0" fontId="10" fillId="0" borderId="0" xfId="0" applyFont="1" applyAlignment="1">
      <alignment vertical="top" wrapText="1"/>
    </xf>
    <xf numFmtId="0" fontId="0" fillId="0" borderId="5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5" xfId="0" applyBorder="1" applyAlignment="1">
      <alignment horizontal="center" vertical="center" wrapText="1"/>
    </xf>
    <xf numFmtId="0" fontId="21" fillId="6" borderId="5" xfId="0" applyFont="1" applyFill="1" applyBorder="1" applyAlignment="1">
      <alignment vertical="top"/>
    </xf>
    <xf numFmtId="4" fontId="0" fillId="0" borderId="0" xfId="0" applyNumberFormat="1"/>
    <xf numFmtId="0" fontId="0" fillId="0" borderId="0" xfId="0" applyAlignment="1">
      <alignment vertical="top" wrapText="1"/>
    </xf>
    <xf numFmtId="0" fontId="37" fillId="0" borderId="4" xfId="0" applyFont="1" applyFill="1" applyBorder="1" applyAlignment="1">
      <alignment vertical="top" wrapText="1"/>
    </xf>
    <xf numFmtId="0" fontId="37" fillId="0" borderId="19" xfId="0" applyFont="1" applyFill="1" applyBorder="1" applyAlignment="1">
      <alignment vertical="top" wrapText="1"/>
    </xf>
    <xf numFmtId="2" fontId="37" fillId="0" borderId="19" xfId="0" applyNumberFormat="1" applyFont="1" applyFill="1" applyBorder="1" applyAlignment="1">
      <alignment vertical="top" wrapText="1"/>
    </xf>
    <xf numFmtId="4" fontId="0" fillId="0" borderId="5" xfId="0" applyNumberFormat="1" applyFill="1" applyBorder="1" applyAlignment="1">
      <alignment vertical="top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0" fillId="3" borderId="5" xfId="0" applyNumberFormat="1" applyFill="1" applyBorder="1" applyAlignment="1">
      <alignment vertical="top" wrapText="1"/>
    </xf>
    <xf numFmtId="4" fontId="2" fillId="3" borderId="5" xfId="0" applyNumberFormat="1" applyFont="1" applyFill="1" applyBorder="1" applyAlignment="1">
      <alignment horizontal="center" vertical="top" wrapText="1"/>
    </xf>
    <xf numFmtId="0" fontId="37" fillId="0" borderId="8" xfId="0" applyFont="1" applyFill="1" applyBorder="1" applyAlignment="1">
      <alignment vertical="top" wrapText="1"/>
    </xf>
    <xf numFmtId="0" fontId="37" fillId="0" borderId="9" xfId="0" applyFont="1" applyFill="1" applyBorder="1" applyAlignment="1">
      <alignment vertical="top" wrapText="1"/>
    </xf>
    <xf numFmtId="2" fontId="0" fillId="0" borderId="9" xfId="0" applyNumberFormat="1" applyFill="1" applyBorder="1" applyAlignment="1"/>
    <xf numFmtId="0" fontId="0" fillId="0" borderId="9" xfId="0" applyFill="1" applyBorder="1" applyAlignment="1"/>
    <xf numFmtId="1" fontId="37" fillId="0" borderId="5" xfId="0" applyNumberFormat="1" applyFont="1" applyFill="1" applyBorder="1" applyAlignment="1">
      <alignment vertical="top" wrapText="1"/>
    </xf>
    <xf numFmtId="1" fontId="37" fillId="0" borderId="1" xfId="0" applyNumberFormat="1" applyFont="1" applyFill="1" applyBorder="1" applyAlignment="1">
      <alignment vertical="top" wrapText="1"/>
    </xf>
    <xf numFmtId="0" fontId="37" fillId="0" borderId="5" xfId="0" applyFont="1" applyFill="1" applyBorder="1" applyAlignment="1">
      <alignment vertical="top" wrapText="1"/>
    </xf>
    <xf numFmtId="0" fontId="37" fillId="0" borderId="1" xfId="0" applyFont="1" applyFill="1" applyBorder="1" applyAlignment="1">
      <alignment vertical="top" wrapText="1"/>
    </xf>
    <xf numFmtId="2" fontId="37" fillId="0" borderId="1" xfId="0" applyNumberFormat="1" applyFont="1" applyFill="1" applyBorder="1" applyAlignment="1">
      <alignment vertical="top" wrapText="1"/>
    </xf>
    <xf numFmtId="4" fontId="0" fillId="0" borderId="5" xfId="0" applyNumberFormat="1" applyFill="1" applyBorder="1"/>
    <xf numFmtId="4" fontId="0" fillId="7" borderId="5" xfId="0" applyNumberFormat="1" applyFill="1" applyBorder="1"/>
    <xf numFmtId="4" fontId="37" fillId="0" borderId="1" xfId="0" applyNumberFormat="1" applyFont="1" applyFill="1" applyBorder="1" applyAlignment="1">
      <alignment vertical="top" wrapText="1"/>
    </xf>
    <xf numFmtId="4" fontId="37" fillId="0" borderId="19" xfId="0" applyNumberFormat="1" applyFont="1" applyFill="1" applyBorder="1" applyAlignment="1">
      <alignment vertical="top" wrapText="1"/>
    </xf>
    <xf numFmtId="0" fontId="0" fillId="0" borderId="4" xfId="0" applyBorder="1"/>
    <xf numFmtId="4" fontId="0" fillId="0" borderId="4" xfId="0" applyNumberFormat="1" applyFill="1" applyBorder="1"/>
    <xf numFmtId="4" fontId="0" fillId="7" borderId="4" xfId="0" applyNumberFormat="1" applyFill="1" applyBorder="1"/>
    <xf numFmtId="4" fontId="0" fillId="3" borderId="4" xfId="0" applyNumberFormat="1" applyFill="1" applyBorder="1"/>
    <xf numFmtId="0" fontId="38" fillId="8" borderId="5" xfId="0" applyFont="1" applyFill="1" applyBorder="1"/>
    <xf numFmtId="0" fontId="37" fillId="8" borderId="5" xfId="0" applyFont="1" applyFill="1" applyBorder="1"/>
    <xf numFmtId="2" fontId="37" fillId="8" borderId="5" xfId="0" applyNumberFormat="1" applyFont="1" applyFill="1" applyBorder="1"/>
    <xf numFmtId="0" fontId="39" fillId="8" borderId="1" xfId="0" applyFont="1" applyFill="1" applyBorder="1" applyAlignment="1"/>
    <xf numFmtId="0" fontId="39" fillId="8" borderId="3" xfId="0" applyFont="1" applyFill="1" applyBorder="1" applyAlignment="1"/>
    <xf numFmtId="0" fontId="39" fillId="8" borderId="5" xfId="0" applyFont="1" applyFill="1" applyBorder="1"/>
    <xf numFmtId="0" fontId="40" fillId="8" borderId="5" xfId="0" applyFont="1" applyFill="1" applyBorder="1"/>
    <xf numFmtId="0" fontId="40" fillId="8" borderId="7" xfId="0" applyFont="1" applyFill="1" applyBorder="1"/>
    <xf numFmtId="0" fontId="37" fillId="0" borderId="4" xfId="0" applyFont="1" applyBorder="1" applyAlignment="1">
      <alignment vertical="top" wrapText="1"/>
    </xf>
    <xf numFmtId="0" fontId="37" fillId="0" borderId="19" xfId="0" applyFont="1" applyBorder="1" applyAlignment="1">
      <alignment vertical="top" wrapText="1"/>
    </xf>
    <xf numFmtId="9" fontId="2" fillId="3" borderId="5" xfId="0" applyNumberFormat="1" applyFont="1" applyFill="1" applyBorder="1" applyAlignment="1">
      <alignment vertical="top" wrapText="1"/>
    </xf>
    <xf numFmtId="0" fontId="37" fillId="0" borderId="8" xfId="0" applyFont="1" applyBorder="1" applyAlignment="1">
      <alignment vertical="top" wrapText="1"/>
    </xf>
    <xf numFmtId="0" fontId="37" fillId="0" borderId="9" xfId="0" applyFont="1" applyBorder="1" applyAlignment="1">
      <alignment vertical="top" wrapText="1"/>
    </xf>
    <xf numFmtId="0" fontId="37" fillId="0" borderId="21" xfId="0" applyFont="1" applyBorder="1" applyAlignment="1">
      <alignment vertical="top" wrapText="1"/>
    </xf>
    <xf numFmtId="0" fontId="37" fillId="0" borderId="5" xfId="0" applyFont="1" applyBorder="1" applyAlignment="1">
      <alignment vertical="top" wrapText="1"/>
    </xf>
    <xf numFmtId="0" fontId="37" fillId="0" borderId="1" xfId="0" applyFont="1" applyBorder="1" applyAlignment="1">
      <alignment vertical="top" wrapText="1"/>
    </xf>
    <xf numFmtId="164" fontId="37" fillId="0" borderId="1" xfId="0" applyNumberFormat="1" applyFont="1" applyBorder="1" applyAlignment="1">
      <alignment vertical="top" wrapText="1"/>
    </xf>
    <xf numFmtId="4" fontId="37" fillId="0" borderId="1" xfId="0" applyNumberFormat="1" applyFont="1" applyBorder="1" applyAlignment="1">
      <alignment vertical="top" wrapText="1"/>
    </xf>
    <xf numFmtId="0" fontId="37" fillId="2" borderId="5" xfId="0" applyFont="1" applyFill="1" applyBorder="1" applyAlignment="1">
      <alignment vertical="top" wrapText="1"/>
    </xf>
    <xf numFmtId="0" fontId="37" fillId="2" borderId="1" xfId="0" applyFont="1" applyFill="1" applyBorder="1" applyAlignment="1">
      <alignment vertical="top" wrapText="1"/>
    </xf>
    <xf numFmtId="4" fontId="37" fillId="0" borderId="5" xfId="0" applyNumberFormat="1" applyFont="1" applyFill="1" applyBorder="1" applyAlignment="1">
      <alignment vertical="top" wrapText="1"/>
    </xf>
    <xf numFmtId="164" fontId="0" fillId="0" borderId="0" xfId="2" applyFont="1"/>
    <xf numFmtId="164" fontId="40" fillId="8" borderId="5" xfId="0" applyNumberFormat="1" applyFont="1" applyFill="1" applyBorder="1"/>
    <xf numFmtId="4" fontId="0" fillId="0" borderId="1" xfId="0" applyNumberFormat="1" applyFill="1" applyBorder="1" applyAlignment="1">
      <alignment horizontal="center" vertical="top" wrapText="1"/>
    </xf>
    <xf numFmtId="4" fontId="0" fillId="0" borderId="5" xfId="0" applyNumberForma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vertical="top" wrapText="1"/>
    </xf>
    <xf numFmtId="0" fontId="23" fillId="0" borderId="5" xfId="0" applyFont="1" applyFill="1" applyBorder="1"/>
    <xf numFmtId="4" fontId="26" fillId="0" borderId="1" xfId="0" applyNumberFormat="1" applyFont="1" applyFill="1" applyBorder="1"/>
    <xf numFmtId="4" fontId="0" fillId="0" borderId="5" xfId="0" applyNumberFormat="1" applyFill="1" applyBorder="1" applyAlignment="1">
      <alignment horizontal="right"/>
    </xf>
    <xf numFmtId="4" fontId="0" fillId="0" borderId="5" xfId="0" applyNumberFormat="1" applyFill="1" applyBorder="1" applyAlignment="1">
      <alignment wrapText="1"/>
    </xf>
    <xf numFmtId="4" fontId="0" fillId="0" borderId="5" xfId="0" applyNumberFormat="1" applyFont="1" applyFill="1" applyBorder="1"/>
    <xf numFmtId="0" fontId="0" fillId="0" borderId="5" xfId="0" applyBorder="1" applyAlignment="1">
      <alignment vertical="top" wrapText="1"/>
    </xf>
    <xf numFmtId="4" fontId="0" fillId="0" borderId="5" xfId="0" applyNumberFormat="1" applyFill="1" applyBorder="1" applyAlignment="1">
      <alignment horizontal="center" vertical="top" wrapText="1"/>
    </xf>
    <xf numFmtId="0" fontId="32" fillId="0" borderId="8" xfId="0" applyFont="1" applyBorder="1" applyAlignment="1">
      <alignment horizontal="center" wrapText="1"/>
    </xf>
    <xf numFmtId="0" fontId="0" fillId="0" borderId="1" xfId="0" applyFill="1" applyBorder="1" applyAlignment="1">
      <alignment horizontal="left" vertical="center" wrapText="1"/>
    </xf>
    <xf numFmtId="0" fontId="10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8" fillId="0" borderId="2" xfId="0" applyFont="1" applyFill="1" applyBorder="1" applyAlignment="1">
      <alignment horizontal="center" vertical="center"/>
    </xf>
    <xf numFmtId="4" fontId="35" fillId="0" borderId="5" xfId="0" applyNumberFormat="1" applyFont="1" applyBorder="1" applyAlignment="1">
      <alignment vertical="center"/>
    </xf>
    <xf numFmtId="0" fontId="0" fillId="2" borderId="5" xfId="0" applyFill="1" applyBorder="1"/>
    <xf numFmtId="0" fontId="0" fillId="9" borderId="0" xfId="0" applyFill="1"/>
    <xf numFmtId="0" fontId="0" fillId="9" borderId="5" xfId="0" applyFill="1" applyBorder="1" applyAlignment="1">
      <alignment vertical="top" wrapText="1"/>
    </xf>
    <xf numFmtId="4" fontId="0" fillId="9" borderId="5" xfId="0" applyNumberFormat="1" applyFill="1" applyBorder="1" applyAlignment="1">
      <alignment vertical="top" wrapText="1"/>
    </xf>
    <xf numFmtId="0" fontId="0" fillId="9" borderId="5" xfId="0" applyFill="1" applyBorder="1"/>
    <xf numFmtId="4" fontId="37" fillId="2" borderId="1" xfId="0" applyNumberFormat="1" applyFont="1" applyFill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0" fillId="0" borderId="5" xfId="0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top" wrapText="1"/>
    </xf>
    <xf numFmtId="0" fontId="10" fillId="0" borderId="0" xfId="0" applyFont="1" applyBorder="1" applyAlignment="1"/>
    <xf numFmtId="0" fontId="0" fillId="0" borderId="5" xfId="0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center"/>
    </xf>
    <xf numFmtId="4" fontId="21" fillId="0" borderId="5" xfId="0" applyNumberFormat="1" applyFont="1" applyFill="1" applyBorder="1" applyAlignment="1">
      <alignment horizontal="center" vertical="center"/>
    </xf>
    <xf numFmtId="0" fontId="0" fillId="0" borderId="0" xfId="0" applyAlignment="1">
      <alignment vertical="top" wrapText="1"/>
    </xf>
    <xf numFmtId="4" fontId="0" fillId="2" borderId="5" xfId="0" applyNumberFormat="1" applyFill="1" applyBorder="1"/>
    <xf numFmtId="0" fontId="10" fillId="2" borderId="5" xfId="0" applyFont="1" applyFill="1" applyBorder="1" applyAlignment="1">
      <alignment vertical="top" wrapText="1"/>
    </xf>
    <xf numFmtId="164" fontId="0" fillId="2" borderId="5" xfId="2" applyFont="1" applyFill="1" applyBorder="1"/>
    <xf numFmtId="0" fontId="10" fillId="2" borderId="5" xfId="0" applyFont="1" applyFill="1" applyBorder="1" applyAlignment="1">
      <alignment horizontal="justify" vertical="top" wrapText="1"/>
    </xf>
    <xf numFmtId="2" fontId="10" fillId="2" borderId="5" xfId="0" applyNumberFormat="1" applyFont="1" applyFill="1" applyBorder="1" applyAlignment="1">
      <alignment horizontal="justify" vertical="top" wrapText="1"/>
    </xf>
    <xf numFmtId="166" fontId="10" fillId="2" borderId="5" xfId="0" applyNumberFormat="1" applyFont="1" applyFill="1" applyBorder="1" applyAlignment="1">
      <alignment horizontal="justify" vertical="top" wrapText="1"/>
    </xf>
    <xf numFmtId="0" fontId="10" fillId="2" borderId="5" xfId="0" applyFont="1" applyFill="1" applyBorder="1" applyAlignment="1">
      <alignment horizontal="center" wrapText="1"/>
    </xf>
    <xf numFmtId="2" fontId="10" fillId="2" borderId="5" xfId="0" applyNumberFormat="1" applyFont="1" applyFill="1" applyBorder="1" applyAlignment="1">
      <alignment horizontal="center" wrapText="1"/>
    </xf>
    <xf numFmtId="166" fontId="10" fillId="2" borderId="5" xfId="0" applyNumberFormat="1" applyFont="1" applyFill="1" applyBorder="1" applyAlignment="1">
      <alignment horizontal="center" wrapText="1"/>
    </xf>
    <xf numFmtId="4" fontId="0" fillId="2" borderId="5" xfId="0" applyNumberFormat="1" applyFill="1" applyBorder="1" applyAlignment="1">
      <alignment horizontal="center"/>
    </xf>
    <xf numFmtId="0" fontId="8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4" fontId="0" fillId="2" borderId="5" xfId="0" applyNumberFormat="1" applyFill="1" applyBorder="1" applyAlignment="1">
      <alignment vertical="center"/>
    </xf>
    <xf numFmtId="4" fontId="0" fillId="2" borderId="5" xfId="0" applyNumberFormat="1" applyFill="1" applyBorder="1" applyAlignment="1">
      <alignment horizontal="center" vertical="center"/>
    </xf>
    <xf numFmtId="0" fontId="8" fillId="2" borderId="5" xfId="0" applyFont="1" applyFill="1" applyBorder="1"/>
    <xf numFmtId="0" fontId="8" fillId="2" borderId="1" xfId="0" applyFont="1" applyFill="1" applyBorder="1" applyAlignment="1">
      <alignment horizontal="left"/>
    </xf>
    <xf numFmtId="0" fontId="0" fillId="2" borderId="5" xfId="0" applyFill="1" applyBorder="1" applyAlignment="1">
      <alignment horizontal="center"/>
    </xf>
    <xf numFmtId="4" fontId="0" fillId="2" borderId="5" xfId="2" applyNumberFormat="1" applyFont="1" applyFill="1" applyBorder="1"/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0" fontId="21" fillId="0" borderId="5" xfId="0" applyFont="1" applyFill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0" fillId="0" borderId="5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0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2" fontId="10" fillId="0" borderId="5" xfId="0" applyNumberFormat="1" applyFont="1" applyFill="1" applyBorder="1" applyAlignment="1">
      <alignment horizontal="justify" wrapText="1"/>
    </xf>
    <xf numFmtId="164" fontId="0" fillId="0" borderId="5" xfId="2" applyFont="1" applyFill="1" applyBorder="1"/>
    <xf numFmtId="166" fontId="10" fillId="0" borderId="5" xfId="0" applyNumberFormat="1" applyFont="1" applyFill="1" applyBorder="1" applyAlignment="1">
      <alignment horizontal="justify" wrapText="1"/>
    </xf>
    <xf numFmtId="2" fontId="0" fillId="0" borderId="5" xfId="0" applyNumberFormat="1" applyFill="1" applyBorder="1"/>
    <xf numFmtId="0" fontId="10" fillId="0" borderId="5" xfId="0" applyFont="1" applyFill="1" applyBorder="1" applyAlignment="1">
      <alignment horizontal="justify" vertical="top" wrapText="1"/>
    </xf>
    <xf numFmtId="2" fontId="10" fillId="0" borderId="5" xfId="0" applyNumberFormat="1" applyFont="1" applyFill="1" applyBorder="1" applyAlignment="1">
      <alignment horizontal="justify" vertical="top" wrapText="1"/>
    </xf>
    <xf numFmtId="166" fontId="10" fillId="0" borderId="5" xfId="0" applyNumberFormat="1" applyFont="1" applyFill="1" applyBorder="1" applyAlignment="1">
      <alignment horizontal="justify" vertical="top" wrapText="1"/>
    </xf>
    <xf numFmtId="0" fontId="0" fillId="0" borderId="0" xfId="0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21" fillId="0" borderId="5" xfId="0" applyFont="1" applyBorder="1" applyAlignment="1">
      <alignment horizontal="justify" wrapText="1"/>
    </xf>
    <xf numFmtId="0" fontId="41" fillId="0" borderId="5" xfId="0" applyFont="1" applyBorder="1"/>
    <xf numFmtId="0" fontId="21" fillId="0" borderId="5" xfId="0" applyFont="1" applyFill="1" applyBorder="1" applyAlignment="1">
      <alignment horizontal="justify" wrapText="1"/>
    </xf>
    <xf numFmtId="166" fontId="21" fillId="0" borderId="5" xfId="0" applyNumberFormat="1" applyFont="1" applyBorder="1" applyAlignment="1">
      <alignment horizontal="left" wrapText="1"/>
    </xf>
    <xf numFmtId="166" fontId="21" fillId="0" borderId="5" xfId="0" applyNumberFormat="1" applyFont="1" applyFill="1" applyBorder="1" applyAlignment="1">
      <alignment horizontal="left" wrapText="1"/>
    </xf>
    <xf numFmtId="0" fontId="41" fillId="0" borderId="5" xfId="0" applyFont="1" applyBorder="1" applyAlignment="1">
      <alignment horizontal="left"/>
    </xf>
    <xf numFmtId="0" fontId="7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2" fontId="21" fillId="0" borderId="5" xfId="0" applyNumberFormat="1" applyFont="1" applyBorder="1" applyAlignment="1">
      <alignment horizontal="left" wrapText="1"/>
    </xf>
    <xf numFmtId="2" fontId="21" fillId="0" borderId="5" xfId="0" applyNumberFormat="1" applyFont="1" applyFill="1" applyBorder="1" applyAlignment="1">
      <alignment horizontal="left" wrapText="1"/>
    </xf>
    <xf numFmtId="4" fontId="21" fillId="0" borderId="5" xfId="0" applyNumberFormat="1" applyFont="1" applyBorder="1" applyAlignment="1">
      <alignment horizontal="right" vertical="top" wrapText="1"/>
    </xf>
    <xf numFmtId="4" fontId="21" fillId="0" borderId="5" xfId="0" applyNumberFormat="1" applyFont="1" applyBorder="1" applyAlignment="1">
      <alignment horizontal="right" wrapText="1"/>
    </xf>
    <xf numFmtId="4" fontId="41" fillId="0" borderId="5" xfId="0" applyNumberFormat="1" applyFont="1" applyBorder="1" applyAlignment="1">
      <alignment horizontal="right"/>
    </xf>
    <xf numFmtId="4" fontId="21" fillId="0" borderId="5" xfId="0" applyNumberFormat="1" applyFont="1" applyFill="1" applyBorder="1" applyAlignment="1">
      <alignment horizontal="right" vertical="top" wrapText="1"/>
    </xf>
    <xf numFmtId="4" fontId="41" fillId="0" borderId="5" xfId="0" applyNumberFormat="1" applyFont="1" applyFill="1" applyBorder="1" applyAlignment="1">
      <alignment horizontal="right"/>
    </xf>
    <xf numFmtId="0" fontId="41" fillId="0" borderId="5" xfId="0" applyFont="1" applyBorder="1" applyAlignment="1">
      <alignment horizontal="right"/>
    </xf>
    <xf numFmtId="0" fontId="8" fillId="0" borderId="5" xfId="0" applyFont="1" applyFill="1" applyBorder="1" applyAlignment="1">
      <alignment vertical="top" wrapText="1"/>
    </xf>
    <xf numFmtId="0" fontId="0" fillId="0" borderId="5" xfId="0" applyFill="1" applyBorder="1" applyAlignment="1">
      <alignment vertical="top" wrapText="1"/>
    </xf>
    <xf numFmtId="4" fontId="42" fillId="0" borderId="5" xfId="0" applyNumberFormat="1" applyFont="1" applyBorder="1" applyAlignment="1">
      <alignment horizontal="right"/>
    </xf>
    <xf numFmtId="0" fontId="18" fillId="0" borderId="5" xfId="0" applyFont="1" applyFill="1" applyBorder="1"/>
    <xf numFmtId="0" fontId="10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8" fillId="0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2" fontId="37" fillId="10" borderId="5" xfId="0" applyNumberFormat="1" applyFont="1" applyFill="1" applyBorder="1"/>
    <xf numFmtId="2" fontId="0" fillId="5" borderId="0" xfId="0" applyNumberFormat="1" applyFont="1" applyFill="1"/>
    <xf numFmtId="2" fontId="37" fillId="2" borderId="5" xfId="0" applyNumberFormat="1" applyFont="1" applyFill="1" applyBorder="1"/>
    <xf numFmtId="2" fontId="0" fillId="5" borderId="0" xfId="0" applyNumberFormat="1" applyFill="1" applyBorder="1"/>
    <xf numFmtId="0" fontId="38" fillId="0" borderId="5" xfId="0" applyFont="1" applyFill="1" applyBorder="1"/>
    <xf numFmtId="0" fontId="37" fillId="0" borderId="5" xfId="0" applyFont="1" applyFill="1" applyBorder="1"/>
    <xf numFmtId="0" fontId="10" fillId="0" borderId="0" xfId="0" applyFont="1" applyBorder="1" applyAlignment="1">
      <alignment horizontal="left"/>
    </xf>
    <xf numFmtId="0" fontId="10" fillId="2" borderId="0" xfId="0" applyFont="1" applyFill="1" applyAlignment="1">
      <alignment vertical="top" wrapText="1"/>
    </xf>
    <xf numFmtId="164" fontId="10" fillId="0" borderId="0" xfId="2" applyFont="1" applyBorder="1"/>
    <xf numFmtId="164" fontId="10" fillId="0" borderId="0" xfId="2" applyFont="1" applyAlignment="1">
      <alignment wrapText="1"/>
    </xf>
    <xf numFmtId="0" fontId="10" fillId="0" borderId="0" xfId="0" applyFont="1" applyBorder="1" applyAlignment="1">
      <alignment wrapText="1"/>
    </xf>
    <xf numFmtId="4" fontId="21" fillId="0" borderId="0" xfId="0" applyNumberFormat="1" applyFont="1" applyFill="1" applyBorder="1" applyAlignment="1">
      <alignment horizontal="center" vertical="top" wrapText="1"/>
    </xf>
    <xf numFmtId="4" fontId="48" fillId="0" borderId="0" xfId="0" applyNumberFormat="1" applyFont="1" applyFill="1" applyAlignment="1">
      <alignment vertical="top"/>
    </xf>
    <xf numFmtId="0" fontId="0" fillId="0" borderId="0" xfId="0" applyAlignment="1">
      <alignment wrapText="1"/>
    </xf>
    <xf numFmtId="0" fontId="8" fillId="0" borderId="5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right" wrapText="1"/>
    </xf>
    <xf numFmtId="2" fontId="3" fillId="0" borderId="5" xfId="0" applyNumberFormat="1" applyFont="1" applyBorder="1"/>
    <xf numFmtId="0" fontId="10" fillId="0" borderId="0" xfId="0" applyFont="1" applyBorder="1" applyAlignment="1"/>
    <xf numFmtId="0" fontId="0" fillId="0" borderId="5" xfId="0" applyFill="1" applyBorder="1" applyAlignment="1">
      <alignment horizontal="center" vertical="top" wrapText="1"/>
    </xf>
    <xf numFmtId="0" fontId="21" fillId="0" borderId="0" xfId="0" applyFont="1" applyFill="1" applyBorder="1" applyAlignment="1">
      <alignment vertical="top"/>
    </xf>
    <xf numFmtId="0" fontId="0" fillId="0" borderId="0" xfId="0" applyFill="1" applyAlignment="1">
      <alignment vertical="top" wrapText="1"/>
    </xf>
    <xf numFmtId="2" fontId="37" fillId="0" borderId="5" xfId="0" applyNumberFormat="1" applyFont="1" applyFill="1" applyBorder="1"/>
    <xf numFmtId="2" fontId="0" fillId="0" borderId="0" xfId="0" applyNumberFormat="1" applyFill="1"/>
    <xf numFmtId="0" fontId="0" fillId="0" borderId="5" xfId="0" applyFill="1" applyBorder="1" applyAlignment="1">
      <alignment horizontal="center" wrapText="1"/>
    </xf>
    <xf numFmtId="164" fontId="0" fillId="0" borderId="0" xfId="2" applyFont="1" applyFill="1"/>
    <xf numFmtId="0" fontId="38" fillId="0" borderId="1" xfId="0" applyFont="1" applyFill="1" applyBorder="1" applyAlignment="1">
      <alignment vertical="top" wrapText="1"/>
    </xf>
    <xf numFmtId="0" fontId="38" fillId="0" borderId="2" xfId="0" applyFont="1" applyFill="1" applyBorder="1" applyAlignment="1">
      <alignment vertical="top" wrapText="1"/>
    </xf>
    <xf numFmtId="4" fontId="37" fillId="0" borderId="5" xfId="0" applyNumberFormat="1" applyFont="1" applyFill="1" applyBorder="1"/>
    <xf numFmtId="4" fontId="0" fillId="0" borderId="5" xfId="0" applyNumberFormat="1" applyFont="1" applyFill="1" applyBorder="1" applyAlignment="1">
      <alignment vertical="top" wrapText="1"/>
    </xf>
    <xf numFmtId="0" fontId="37" fillId="0" borderId="9" xfId="0" applyFont="1" applyFill="1" applyBorder="1" applyAlignment="1">
      <alignment vertical="center"/>
    </xf>
    <xf numFmtId="0" fontId="37" fillId="0" borderId="1" xfId="0" applyFont="1" applyFill="1" applyBorder="1" applyAlignment="1"/>
    <xf numFmtId="0" fontId="0" fillId="0" borderId="0" xfId="0" applyFont="1" applyFill="1" applyAlignment="1">
      <alignment vertical="top"/>
    </xf>
    <xf numFmtId="4" fontId="0" fillId="0" borderId="1" xfId="0" applyNumberFormat="1" applyFont="1" applyFill="1" applyBorder="1" applyAlignment="1">
      <alignment horizontal="center" vertical="top" wrapText="1"/>
    </xf>
    <xf numFmtId="4" fontId="0" fillId="0" borderId="5" xfId="0" applyNumberFormat="1" applyFont="1" applyFill="1" applyBorder="1" applyAlignment="1">
      <alignment horizontal="center" vertical="top" wrapText="1"/>
    </xf>
    <xf numFmtId="0" fontId="0" fillId="0" borderId="0" xfId="0" applyFont="1" applyFill="1" applyAlignment="1">
      <alignment vertical="top" wrapText="1"/>
    </xf>
    <xf numFmtId="0" fontId="0" fillId="0" borderId="0" xfId="0" applyFont="1" applyFill="1" applyAlignment="1"/>
    <xf numFmtId="4" fontId="0" fillId="0" borderId="0" xfId="0" applyNumberFormat="1" applyFont="1" applyFill="1" applyAlignment="1">
      <alignment vertical="top"/>
    </xf>
    <xf numFmtId="0" fontId="37" fillId="0" borderId="2" xfId="0" applyFont="1" applyFill="1" applyBorder="1" applyAlignment="1">
      <alignment vertical="top" wrapText="1"/>
    </xf>
    <xf numFmtId="0" fontId="0" fillId="0" borderId="5" xfId="0" applyFont="1" applyFill="1" applyBorder="1" applyAlignment="1">
      <alignment vertical="top" wrapText="1"/>
    </xf>
    <xf numFmtId="0" fontId="0" fillId="0" borderId="5" xfId="0" applyFont="1" applyFill="1" applyBorder="1"/>
    <xf numFmtId="4" fontId="37" fillId="0" borderId="5" xfId="0" applyNumberFormat="1" applyFont="1" applyFill="1" applyBorder="1" applyAlignment="1">
      <alignment horizontal="center"/>
    </xf>
    <xf numFmtId="0" fontId="10" fillId="0" borderId="0" xfId="0" applyFont="1" applyBorder="1" applyAlignment="1"/>
    <xf numFmtId="0" fontId="0" fillId="5" borderId="5" xfId="0" applyFill="1" applyBorder="1" applyAlignment="1">
      <alignment vertical="center"/>
    </xf>
    <xf numFmtId="2" fontId="0" fillId="5" borderId="5" xfId="0" applyNumberFormat="1" applyFill="1" applyBorder="1" applyAlignment="1">
      <alignment vertical="center"/>
    </xf>
    <xf numFmtId="4" fontId="0" fillId="5" borderId="5" xfId="0" applyNumberFormat="1" applyFill="1" applyBorder="1" applyAlignment="1">
      <alignment vertical="center"/>
    </xf>
    <xf numFmtId="0" fontId="8" fillId="5" borderId="5" xfId="0" applyFont="1" applyFill="1" applyBorder="1" applyAlignment="1">
      <alignment horizontal="center" vertical="center"/>
    </xf>
    <xf numFmtId="0" fontId="32" fillId="5" borderId="5" xfId="0" applyFont="1" applyFill="1" applyBorder="1" applyAlignment="1">
      <alignment horizontal="center"/>
    </xf>
    <xf numFmtId="0" fontId="32" fillId="5" borderId="5" xfId="0" applyFont="1" applyFill="1" applyBorder="1" applyAlignment="1"/>
    <xf numFmtId="0" fontId="13" fillId="5" borderId="19" xfId="0" applyFont="1" applyFill="1" applyBorder="1" applyAlignment="1">
      <alignment horizontal="center"/>
    </xf>
    <xf numFmtId="4" fontId="0" fillId="5" borderId="5" xfId="0" applyNumberFormat="1" applyFill="1" applyBorder="1" applyAlignment="1">
      <alignment horizontal="center" vertical="center"/>
    </xf>
    <xf numFmtId="4" fontId="0" fillId="5" borderId="5" xfId="0" applyNumberFormat="1" applyFont="1" applyFill="1" applyBorder="1" applyAlignment="1">
      <alignment vertical="center"/>
    </xf>
    <xf numFmtId="0" fontId="30" fillId="5" borderId="5" xfId="0" applyFont="1" applyFill="1" applyBorder="1" applyAlignment="1">
      <alignment horizontal="center" vertical="top" wrapText="1"/>
    </xf>
    <xf numFmtId="164" fontId="0" fillId="5" borderId="5" xfId="2" applyFont="1" applyFill="1" applyBorder="1"/>
    <xf numFmtId="0" fontId="10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8" fillId="0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Fill="1" applyBorder="1" applyAlignment="1">
      <alignment horizontal="center" vertical="top" wrapText="1"/>
    </xf>
    <xf numFmtId="0" fontId="0" fillId="0" borderId="5" xfId="0" applyFill="1" applyBorder="1" applyAlignment="1">
      <alignment horizontal="center" vertical="top" wrapText="1"/>
    </xf>
    <xf numFmtId="0" fontId="0" fillId="0" borderId="5" xfId="0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top" wrapText="1"/>
    </xf>
    <xf numFmtId="4" fontId="27" fillId="0" borderId="5" xfId="0" applyNumberFormat="1" applyFont="1" applyFill="1" applyBorder="1" applyAlignment="1">
      <alignment horizontal="center"/>
    </xf>
    <xf numFmtId="4" fontId="22" fillId="0" borderId="0" xfId="0" applyNumberFormat="1" applyFont="1" applyFill="1" applyAlignment="1">
      <alignment horizontal="center"/>
    </xf>
    <xf numFmtId="4" fontId="26" fillId="0" borderId="5" xfId="0" applyNumberFormat="1" applyFont="1" applyFill="1" applyBorder="1" applyAlignment="1">
      <alignment horizontal="center"/>
    </xf>
    <xf numFmtId="2" fontId="27" fillId="0" borderId="5" xfId="0" applyNumberFormat="1" applyFont="1" applyFill="1" applyBorder="1" applyAlignment="1">
      <alignment horizontal="right"/>
    </xf>
    <xf numFmtId="2" fontId="27" fillId="0" borderId="5" xfId="0" applyNumberFormat="1" applyFont="1" applyFill="1" applyBorder="1" applyAlignment="1">
      <alignment horizontal="center" vertical="center"/>
    </xf>
    <xf numFmtId="2" fontId="27" fillId="0" borderId="5" xfId="0" applyNumberFormat="1" applyFont="1" applyFill="1" applyBorder="1" applyAlignment="1">
      <alignment horizontal="center"/>
    </xf>
    <xf numFmtId="4" fontId="0" fillId="0" borderId="5" xfId="0" applyNumberFormat="1" applyFill="1" applyBorder="1" applyAlignment="1">
      <alignment horizontal="center" vertical="center"/>
    </xf>
    <xf numFmtId="4" fontId="32" fillId="0" borderId="5" xfId="0" applyNumberFormat="1" applyFont="1" applyFill="1" applyBorder="1" applyAlignment="1">
      <alignment horizontal="center"/>
    </xf>
    <xf numFmtId="0" fontId="32" fillId="0" borderId="5" xfId="0" applyFont="1" applyFill="1" applyBorder="1" applyAlignment="1">
      <alignment horizontal="center"/>
    </xf>
    <xf numFmtId="0" fontId="0" fillId="0" borderId="5" xfId="0" applyFill="1" applyBorder="1" applyAlignment="1">
      <alignment vertical="center"/>
    </xf>
    <xf numFmtId="0" fontId="17" fillId="0" borderId="5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21" fillId="0" borderId="5" xfId="0" applyNumberFormat="1" applyFont="1" applyFill="1" applyBorder="1" applyAlignment="1">
      <alignment horizontal="center" vertical="center" wrapText="1"/>
    </xf>
    <xf numFmtId="4" fontId="21" fillId="0" borderId="5" xfId="0" applyNumberFormat="1" applyFont="1" applyFill="1" applyBorder="1" applyAlignment="1">
      <alignment vertical="center" wrapText="1"/>
    </xf>
    <xf numFmtId="2" fontId="10" fillId="0" borderId="0" xfId="0" applyNumberFormat="1" applyFont="1" applyFill="1" applyBorder="1"/>
    <xf numFmtId="2" fontId="0" fillId="0" borderId="5" xfId="0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top" wrapText="1"/>
    </xf>
    <xf numFmtId="0" fontId="10" fillId="0" borderId="1" xfId="0" applyFont="1" applyFill="1" applyBorder="1" applyAlignment="1">
      <alignment vertical="top" wrapText="1"/>
    </xf>
    <xf numFmtId="0" fontId="10" fillId="0" borderId="2" xfId="0" applyFont="1" applyFill="1" applyBorder="1" applyAlignment="1">
      <alignment vertical="top" wrapText="1"/>
    </xf>
    <xf numFmtId="0" fontId="10" fillId="0" borderId="2" xfId="0" applyFont="1" applyFill="1" applyBorder="1" applyAlignment="1">
      <alignment horizontal="justify" wrapText="1"/>
    </xf>
    <xf numFmtId="2" fontId="10" fillId="0" borderId="2" xfId="0" applyNumberFormat="1" applyFont="1" applyFill="1" applyBorder="1" applyAlignment="1">
      <alignment horizontal="justify" wrapText="1"/>
    </xf>
    <xf numFmtId="166" fontId="10" fillId="0" borderId="3" xfId="0" applyNumberFormat="1" applyFont="1" applyFill="1" applyBorder="1" applyAlignment="1">
      <alignment horizontal="justify" wrapText="1"/>
    </xf>
    <xf numFmtId="0" fontId="18" fillId="0" borderId="0" xfId="0" applyFont="1" applyFill="1"/>
    <xf numFmtId="0" fontId="19" fillId="0" borderId="1" xfId="0" applyFont="1" applyFill="1" applyBorder="1" applyAlignment="1">
      <alignment vertical="top"/>
    </xf>
    <xf numFmtId="0" fontId="19" fillId="0" borderId="2" xfId="0" applyFont="1" applyFill="1" applyBorder="1" applyAlignment="1">
      <alignment vertical="top"/>
    </xf>
    <xf numFmtId="0" fontId="19" fillId="0" borderId="3" xfId="0" applyFont="1" applyFill="1" applyBorder="1" applyAlignment="1">
      <alignment vertical="top"/>
    </xf>
    <xf numFmtId="4" fontId="18" fillId="0" borderId="5" xfId="0" applyNumberFormat="1" applyFont="1" applyFill="1" applyBorder="1"/>
    <xf numFmtId="0" fontId="23" fillId="0" borderId="0" xfId="0" applyFont="1" applyFill="1" applyBorder="1" applyAlignment="1">
      <alignment vertical="top" wrapText="1"/>
    </xf>
    <xf numFmtId="0" fontId="23" fillId="0" borderId="0" xfId="0" applyFont="1" applyFill="1" applyBorder="1"/>
    <xf numFmtId="4" fontId="26" fillId="0" borderId="0" xfId="0" applyNumberFormat="1" applyFont="1" applyFill="1" applyBorder="1"/>
    <xf numFmtId="4" fontId="0" fillId="0" borderId="0" xfId="0" applyNumberFormat="1" applyFill="1" applyBorder="1" applyAlignment="1">
      <alignment horizontal="right"/>
    </xf>
    <xf numFmtId="4" fontId="0" fillId="0" borderId="0" xfId="0" applyNumberFormat="1" applyFill="1" applyBorder="1"/>
    <xf numFmtId="4" fontId="0" fillId="0" borderId="0" xfId="0" applyNumberFormat="1" applyFill="1" applyBorder="1" applyAlignment="1">
      <alignment wrapText="1"/>
    </xf>
    <xf numFmtId="4" fontId="0" fillId="0" borderId="0" xfId="0" applyNumberFormat="1" applyFont="1" applyFill="1" applyBorder="1"/>
    <xf numFmtId="0" fontId="0" fillId="0" borderId="0" xfId="0" applyFill="1" applyBorder="1"/>
    <xf numFmtId="4" fontId="0" fillId="0" borderId="5" xfId="0" applyNumberFormat="1" applyBorder="1" applyAlignment="1">
      <alignment vertical="top" wrapText="1"/>
    </xf>
    <xf numFmtId="0" fontId="37" fillId="0" borderId="0" xfId="0" applyFont="1" applyFill="1" applyBorder="1" applyAlignment="1">
      <alignment vertical="top" wrapText="1"/>
    </xf>
    <xf numFmtId="0" fontId="37" fillId="5" borderId="0" xfId="0" applyFont="1" applyFill="1" applyBorder="1" applyAlignment="1">
      <alignment horizontal="left" vertical="center" wrapText="1"/>
    </xf>
    <xf numFmtId="164" fontId="37" fillId="5" borderId="0" xfId="0" applyNumberFormat="1" applyFont="1" applyFill="1" applyBorder="1"/>
    <xf numFmtId="0" fontId="37" fillId="5" borderId="0" xfId="0" applyFont="1" applyFill="1" applyBorder="1" applyAlignment="1">
      <alignment horizontal="left" vertical="center"/>
    </xf>
    <xf numFmtId="0" fontId="37" fillId="5" borderId="0" xfId="0" applyFont="1" applyFill="1"/>
    <xf numFmtId="168" fontId="37" fillId="5" borderId="0" xfId="0" applyNumberFormat="1" applyFont="1" applyFill="1"/>
    <xf numFmtId="2" fontId="37" fillId="0" borderId="5" xfId="0" applyNumberFormat="1" applyFont="1" applyFill="1" applyBorder="1" applyAlignment="1">
      <alignment vertical="top" wrapText="1"/>
    </xf>
    <xf numFmtId="4" fontId="0" fillId="0" borderId="0" xfId="0" applyNumberFormat="1" applyFill="1"/>
    <xf numFmtId="43" fontId="0" fillId="0" borderId="0" xfId="0" applyNumberFormat="1"/>
    <xf numFmtId="0" fontId="37" fillId="5" borderId="0" xfId="0" applyFont="1" applyFill="1" applyAlignment="1">
      <alignment horizontal="center"/>
    </xf>
    <xf numFmtId="0" fontId="37" fillId="5" borderId="5" xfId="0" applyFont="1" applyFill="1" applyBorder="1"/>
    <xf numFmtId="0" fontId="40" fillId="5" borderId="5" xfId="0" applyFont="1" applyFill="1" applyBorder="1"/>
    <xf numFmtId="0" fontId="40" fillId="5" borderId="5" xfId="0" applyFont="1" applyFill="1" applyBorder="1" applyAlignment="1">
      <alignment horizontal="right"/>
    </xf>
    <xf numFmtId="0" fontId="43" fillId="5" borderId="0" xfId="0" applyFont="1" applyFill="1" applyAlignment="1">
      <alignment horizontal="left"/>
    </xf>
    <xf numFmtId="0" fontId="38" fillId="5" borderId="5" xfId="0" applyFont="1" applyFill="1" applyBorder="1"/>
    <xf numFmtId="0" fontId="44" fillId="5" borderId="0" xfId="0" applyFont="1" applyFill="1"/>
    <xf numFmtId="0" fontId="43" fillId="5" borderId="0" xfId="0" applyFont="1" applyFill="1"/>
    <xf numFmtId="0" fontId="45" fillId="5" borderId="0" xfId="0" applyFont="1" applyFill="1"/>
    <xf numFmtId="0" fontId="39" fillId="5" borderId="1" xfId="0" applyFont="1" applyFill="1" applyBorder="1" applyAlignment="1"/>
    <xf numFmtId="0" fontId="39" fillId="5" borderId="3" xfId="0" applyFont="1" applyFill="1" applyBorder="1" applyAlignment="1"/>
    <xf numFmtId="0" fontId="39" fillId="5" borderId="5" xfId="0" applyFont="1" applyFill="1" applyBorder="1"/>
    <xf numFmtId="0" fontId="38" fillId="5" borderId="0" xfId="0" applyFont="1" applyFill="1"/>
    <xf numFmtId="0" fontId="38" fillId="5" borderId="0" xfId="0" applyFont="1" applyFill="1" applyAlignment="1">
      <alignment horizontal="center"/>
    </xf>
    <xf numFmtId="0" fontId="46" fillId="5" borderId="0" xfId="0" applyFont="1" applyFill="1" applyAlignment="1">
      <alignment horizontal="center"/>
    </xf>
    <xf numFmtId="0" fontId="37" fillId="5" borderId="0" xfId="0" applyFont="1" applyFill="1" applyAlignment="1"/>
    <xf numFmtId="0" fontId="44" fillId="5" borderId="0" xfId="0" applyFont="1" applyFill="1" applyAlignment="1">
      <alignment horizontal="center"/>
    </xf>
    <xf numFmtId="0" fontId="37" fillId="5" borderId="20" xfId="0" applyFont="1" applyFill="1" applyBorder="1"/>
    <xf numFmtId="0" fontId="37" fillId="5" borderId="0" xfId="0" applyFont="1" applyFill="1" applyAlignment="1">
      <alignment horizontal="right"/>
    </xf>
    <xf numFmtId="0" fontId="37" fillId="5" borderId="0" xfId="0" applyFont="1" applyFill="1" applyBorder="1"/>
    <xf numFmtId="0" fontId="37" fillId="5" borderId="5" xfId="0" applyFont="1" applyFill="1" applyBorder="1" applyAlignment="1">
      <alignment horizontal="center" vertical="top" wrapText="1"/>
    </xf>
    <xf numFmtId="0" fontId="37" fillId="5" borderId="0" xfId="0" applyFont="1" applyFill="1" applyAlignment="1">
      <alignment vertical="top" wrapText="1"/>
    </xf>
    <xf numFmtId="168" fontId="37" fillId="5" borderId="0" xfId="0" applyNumberFormat="1" applyFont="1" applyFill="1" applyAlignment="1">
      <alignment vertical="top" wrapText="1"/>
    </xf>
    <xf numFmtId="0" fontId="37" fillId="5" borderId="5" xfId="0" applyFont="1" applyFill="1" applyBorder="1" applyAlignment="1">
      <alignment horizontal="center"/>
    </xf>
    <xf numFmtId="164" fontId="37" fillId="5" borderId="5" xfId="0" applyNumberFormat="1" applyFont="1" applyFill="1" applyBorder="1"/>
    <xf numFmtId="0" fontId="38" fillId="5" borderId="19" xfId="0" applyFont="1" applyFill="1" applyBorder="1"/>
    <xf numFmtId="164" fontId="37" fillId="5" borderId="8" xfId="0" applyNumberFormat="1" applyFont="1" applyFill="1" applyBorder="1"/>
    <xf numFmtId="0" fontId="47" fillId="5" borderId="0" xfId="0" applyFont="1" applyFill="1"/>
    <xf numFmtId="168" fontId="47" fillId="5" borderId="0" xfId="0" applyNumberFormat="1" applyFont="1" applyFill="1"/>
    <xf numFmtId="0" fontId="37" fillId="5" borderId="5" xfId="0" applyFont="1" applyFill="1" applyBorder="1" applyAlignment="1">
      <alignment horizontal="center" wrapText="1"/>
    </xf>
    <xf numFmtId="2" fontId="37" fillId="5" borderId="5" xfId="0" applyNumberFormat="1" applyFont="1" applyFill="1" applyBorder="1"/>
    <xf numFmtId="16" fontId="37" fillId="5" borderId="5" xfId="0" applyNumberFormat="1" applyFont="1" applyFill="1" applyBorder="1"/>
    <xf numFmtId="17" fontId="37" fillId="5" borderId="5" xfId="0" applyNumberFormat="1" applyFont="1" applyFill="1" applyBorder="1"/>
    <xf numFmtId="43" fontId="37" fillId="5" borderId="0" xfId="0" applyNumberFormat="1" applyFont="1" applyFill="1" applyBorder="1"/>
    <xf numFmtId="164" fontId="37" fillId="5" borderId="0" xfId="0" applyNumberFormat="1" applyFont="1" applyFill="1"/>
    <xf numFmtId="0" fontId="37" fillId="5" borderId="19" xfId="0" applyFont="1" applyFill="1" applyBorder="1" applyAlignment="1">
      <alignment vertical="center"/>
    </xf>
    <xf numFmtId="0" fontId="37" fillId="5" borderId="5" xfId="0" applyFont="1" applyFill="1" applyBorder="1" applyAlignment="1">
      <alignment vertical="center"/>
    </xf>
    <xf numFmtId="164" fontId="37" fillId="5" borderId="5" xfId="0" applyNumberFormat="1" applyFont="1" applyFill="1" applyBorder="1" applyAlignment="1">
      <alignment horizontal="right" vertical="center"/>
    </xf>
    <xf numFmtId="0" fontId="47" fillId="5" borderId="5" xfId="0" applyFont="1" applyFill="1" applyBorder="1" applyAlignment="1">
      <alignment vertical="center"/>
    </xf>
    <xf numFmtId="164" fontId="37" fillId="5" borderId="5" xfId="0" applyNumberFormat="1" applyFont="1" applyFill="1" applyBorder="1" applyAlignment="1">
      <alignment horizontal="center"/>
    </xf>
    <xf numFmtId="0" fontId="37" fillId="5" borderId="5" xfId="0" applyFont="1" applyFill="1" applyBorder="1" applyAlignment="1">
      <alignment horizontal="center" vertical="center"/>
    </xf>
    <xf numFmtId="164" fontId="37" fillId="5" borderId="5" xfId="0" applyNumberFormat="1" applyFont="1" applyFill="1" applyBorder="1" applyAlignment="1">
      <alignment vertical="center"/>
    </xf>
    <xf numFmtId="0" fontId="37" fillId="5" borderId="19" xfId="0" applyFont="1" applyFill="1" applyBorder="1"/>
    <xf numFmtId="0" fontId="38" fillId="5" borderId="1" xfId="0" applyFont="1" applyFill="1" applyBorder="1"/>
    <xf numFmtId="0" fontId="37" fillId="5" borderId="4" xfId="0" applyFont="1" applyFill="1" applyBorder="1"/>
    <xf numFmtId="0" fontId="37" fillId="5" borderId="1" xfId="0" applyFont="1" applyFill="1" applyBorder="1"/>
    <xf numFmtId="168" fontId="37" fillId="5" borderId="0" xfId="0" applyNumberFormat="1" applyFont="1" applyFill="1" applyBorder="1"/>
    <xf numFmtId="0" fontId="38" fillId="5" borderId="5" xfId="0" applyFont="1" applyFill="1" applyBorder="1" applyAlignment="1">
      <alignment horizontal="center"/>
    </xf>
    <xf numFmtId="164" fontId="38" fillId="5" borderId="5" xfId="0" applyNumberFormat="1" applyFont="1" applyFill="1" applyBorder="1"/>
    <xf numFmtId="2" fontId="38" fillId="5" borderId="5" xfId="0" applyNumberFormat="1" applyFont="1" applyFill="1" applyBorder="1"/>
    <xf numFmtId="0" fontId="38" fillId="5" borderId="7" xfId="0" applyFont="1" applyFill="1" applyBorder="1"/>
    <xf numFmtId="0" fontId="38" fillId="5" borderId="0" xfId="0" applyFont="1" applyFill="1" applyBorder="1"/>
    <xf numFmtId="0" fontId="38" fillId="5" borderId="0" xfId="0" applyFont="1" applyFill="1" applyBorder="1" applyAlignment="1">
      <alignment horizontal="center"/>
    </xf>
    <xf numFmtId="164" fontId="38" fillId="5" borderId="0" xfId="0" applyNumberFormat="1" applyFont="1" applyFill="1" applyBorder="1"/>
    <xf numFmtId="0" fontId="37" fillId="5" borderId="4" xfId="0" applyFont="1" applyFill="1" applyBorder="1" applyAlignment="1">
      <alignment horizontal="center" vertical="center" wrapText="1"/>
    </xf>
    <xf numFmtId="0" fontId="37" fillId="5" borderId="19" xfId="0" applyFont="1" applyFill="1" applyBorder="1" applyAlignment="1">
      <alignment horizontal="center" vertical="center" wrapText="1"/>
    </xf>
    <xf numFmtId="0" fontId="37" fillId="5" borderId="1" xfId="0" applyFont="1" applyFill="1" applyBorder="1" applyAlignment="1"/>
    <xf numFmtId="0" fontId="37" fillId="5" borderId="2" xfId="0" applyFont="1" applyFill="1" applyBorder="1" applyAlignment="1"/>
    <xf numFmtId="0" fontId="37" fillId="5" borderId="6" xfId="0" applyFont="1" applyFill="1" applyBorder="1" applyAlignment="1">
      <alignment horizontal="center" vertical="center" wrapText="1"/>
    </xf>
    <xf numFmtId="0" fontId="37" fillId="5" borderId="3" xfId="0" applyFont="1" applyFill="1" applyBorder="1" applyAlignment="1"/>
    <xf numFmtId="0" fontId="37" fillId="5" borderId="8" xfId="0" applyFont="1" applyFill="1" applyBorder="1" applyAlignment="1">
      <alignment horizontal="center" vertical="center" wrapText="1"/>
    </xf>
    <xf numFmtId="0" fontId="37" fillId="5" borderId="1" xfId="0" applyFont="1" applyFill="1" applyBorder="1" applyAlignment="1">
      <alignment horizontal="center"/>
    </xf>
    <xf numFmtId="0" fontId="37" fillId="5" borderId="8" xfId="0" applyFont="1" applyFill="1" applyBorder="1" applyAlignment="1">
      <alignment horizontal="center" vertical="top" wrapText="1"/>
    </xf>
    <xf numFmtId="0" fontId="37" fillId="5" borderId="1" xfId="0" applyFont="1" applyFill="1" applyBorder="1" applyAlignment="1">
      <alignment horizontal="center" vertical="top" wrapText="1"/>
    </xf>
    <xf numFmtId="4" fontId="0" fillId="5" borderId="5" xfId="0" applyNumberFormat="1" applyFill="1" applyBorder="1" applyAlignment="1">
      <alignment horizontal="center" vertical="top" wrapText="1"/>
    </xf>
    <xf numFmtId="0" fontId="37" fillId="5" borderId="8" xfId="0" applyFont="1" applyFill="1" applyBorder="1" applyAlignment="1">
      <alignment horizontal="left" vertical="center"/>
    </xf>
    <xf numFmtId="0" fontId="37" fillId="5" borderId="8" xfId="0" applyFont="1" applyFill="1" applyBorder="1" applyAlignment="1">
      <alignment horizontal="left" vertical="center" wrapText="1"/>
    </xf>
    <xf numFmtId="0" fontId="37" fillId="5" borderId="0" xfId="0" applyNumberFormat="1" applyFont="1" applyFill="1"/>
    <xf numFmtId="164" fontId="40" fillId="5" borderId="5" xfId="0" applyNumberFormat="1" applyFont="1" applyFill="1" applyBorder="1" applyAlignment="1">
      <alignment horizontal="center"/>
    </xf>
    <xf numFmtId="169" fontId="38" fillId="5" borderId="5" xfId="0" applyNumberFormat="1" applyFont="1" applyFill="1" applyBorder="1" applyAlignment="1">
      <alignment horizontal="center" vertical="center"/>
    </xf>
    <xf numFmtId="0" fontId="37" fillId="5" borderId="8" xfId="0" applyFont="1" applyFill="1" applyBorder="1"/>
    <xf numFmtId="164" fontId="46" fillId="5" borderId="5" xfId="0" applyNumberFormat="1" applyFont="1" applyFill="1" applyBorder="1" applyAlignment="1">
      <alignment horizontal="center"/>
    </xf>
    <xf numFmtId="169" fontId="38" fillId="5" borderId="8" xfId="0" applyNumberFormat="1" applyFont="1" applyFill="1" applyBorder="1" applyAlignment="1">
      <alignment horizontal="center" vertical="center"/>
    </xf>
    <xf numFmtId="169" fontId="45" fillId="5" borderId="5" xfId="0" applyNumberFormat="1" applyFont="1" applyFill="1" applyBorder="1" applyAlignment="1">
      <alignment horizontal="center" vertical="center"/>
    </xf>
    <xf numFmtId="164" fontId="46" fillId="5" borderId="5" xfId="0" applyNumberFormat="1" applyFont="1" applyFill="1" applyBorder="1"/>
    <xf numFmtId="0" fontId="46" fillId="5" borderId="0" xfId="0" applyFont="1" applyFill="1"/>
    <xf numFmtId="0" fontId="46" fillId="5" borderId="5" xfId="0" applyFont="1" applyFill="1" applyBorder="1"/>
    <xf numFmtId="169" fontId="37" fillId="5" borderId="8" xfId="0" applyNumberFormat="1" applyFont="1" applyFill="1" applyBorder="1" applyAlignment="1">
      <alignment horizontal="center" vertical="center" wrapText="1"/>
    </xf>
    <xf numFmtId="169" fontId="40" fillId="5" borderId="5" xfId="0" applyNumberFormat="1" applyFont="1" applyFill="1" applyBorder="1" applyAlignment="1">
      <alignment horizontal="center" vertical="center"/>
    </xf>
    <xf numFmtId="164" fontId="37" fillId="5" borderId="22" xfId="0" applyNumberFormat="1" applyFont="1" applyFill="1" applyBorder="1"/>
    <xf numFmtId="0" fontId="37" fillId="5" borderId="22" xfId="0" applyFont="1" applyFill="1" applyBorder="1"/>
    <xf numFmtId="0" fontId="37" fillId="5" borderId="22" xfId="0" applyFont="1" applyFill="1" applyBorder="1" applyAlignment="1">
      <alignment horizontal="center"/>
    </xf>
    <xf numFmtId="168" fontId="37" fillId="5" borderId="5" xfId="0" applyNumberFormat="1" applyFont="1" applyFill="1" applyBorder="1"/>
    <xf numFmtId="0" fontId="37" fillId="5" borderId="9" xfId="0" applyFont="1" applyFill="1" applyBorder="1"/>
    <xf numFmtId="0" fontId="37" fillId="5" borderId="20" xfId="0" applyFont="1" applyFill="1" applyBorder="1" applyAlignment="1">
      <alignment horizontal="center"/>
    </xf>
    <xf numFmtId="4" fontId="37" fillId="5" borderId="5" xfId="0" applyNumberFormat="1" applyFont="1" applyFill="1" applyBorder="1"/>
    <xf numFmtId="0" fontId="37" fillId="5" borderId="5" xfId="0" applyFont="1" applyFill="1" applyBorder="1" applyAlignment="1">
      <alignment horizontal="left" vertical="center"/>
    </xf>
    <xf numFmtId="0" fontId="37" fillId="5" borderId="4" xfId="0" applyFont="1" applyFill="1" applyBorder="1" applyAlignment="1">
      <alignment vertical="center" wrapText="1"/>
    </xf>
    <xf numFmtId="0" fontId="37" fillId="5" borderId="4" xfId="0" applyFont="1" applyFill="1" applyBorder="1" applyAlignment="1">
      <alignment vertical="center"/>
    </xf>
    <xf numFmtId="4" fontId="0" fillId="5" borderId="4" xfId="0" applyNumberFormat="1" applyFont="1" applyFill="1" applyBorder="1" applyAlignment="1">
      <alignment vertical="center" wrapText="1"/>
    </xf>
    <xf numFmtId="9" fontId="37" fillId="5" borderId="4" xfId="0" applyNumberFormat="1" applyFont="1" applyFill="1" applyBorder="1" applyAlignment="1">
      <alignment vertical="center" wrapText="1"/>
    </xf>
    <xf numFmtId="9" fontId="37" fillId="5" borderId="19" xfId="0" applyNumberFormat="1" applyFont="1" applyFill="1" applyBorder="1" applyAlignment="1">
      <alignment vertical="center" wrapText="1"/>
    </xf>
    <xf numFmtId="0" fontId="37" fillId="5" borderId="23" xfId="0" applyFont="1" applyFill="1" applyBorder="1" applyAlignment="1">
      <alignment horizontal="center" vertical="center"/>
    </xf>
    <xf numFmtId="0" fontId="37" fillId="5" borderId="5" xfId="0" applyFont="1" applyFill="1" applyBorder="1" applyAlignment="1">
      <alignment vertical="center" wrapText="1"/>
    </xf>
    <xf numFmtId="0" fontId="37" fillId="5" borderId="6" xfId="0" applyFont="1" applyFill="1" applyBorder="1"/>
    <xf numFmtId="0" fontId="0" fillId="5" borderId="5" xfId="0" applyFont="1" applyFill="1" applyBorder="1" applyAlignment="1">
      <alignment wrapText="1"/>
    </xf>
    <xf numFmtId="4" fontId="0" fillId="5" borderId="5" xfId="0" applyNumberFormat="1" applyFont="1" applyFill="1" applyBorder="1" applyAlignment="1">
      <alignment wrapText="1"/>
    </xf>
    <xf numFmtId="4" fontId="37" fillId="5" borderId="5" xfId="0" applyNumberFormat="1" applyFont="1" applyFill="1" applyBorder="1" applyAlignment="1">
      <alignment horizontal="center"/>
    </xf>
    <xf numFmtId="4" fontId="37" fillId="5" borderId="1" xfId="0" applyNumberFormat="1" applyFont="1" applyFill="1" applyBorder="1" applyAlignment="1">
      <alignment horizontal="center"/>
    </xf>
    <xf numFmtId="4" fontId="37" fillId="5" borderId="3" xfId="0" applyNumberFormat="1" applyFont="1" applyFill="1" applyBorder="1" applyAlignment="1">
      <alignment horizontal="center"/>
    </xf>
    <xf numFmtId="0" fontId="39" fillId="5" borderId="0" xfId="0" applyFont="1" applyFill="1"/>
    <xf numFmtId="4" fontId="46" fillId="5" borderId="5" xfId="0" applyNumberFormat="1" applyFont="1" applyFill="1" applyBorder="1" applyAlignment="1">
      <alignment horizontal="center"/>
    </xf>
    <xf numFmtId="4" fontId="46" fillId="5" borderId="1" xfId="0" applyNumberFormat="1" applyFont="1" applyFill="1" applyBorder="1" applyAlignment="1">
      <alignment horizontal="center"/>
    </xf>
    <xf numFmtId="164" fontId="37" fillId="5" borderId="4" xfId="0" applyNumberFormat="1" applyFont="1" applyFill="1" applyBorder="1" applyAlignment="1">
      <alignment horizontal="center"/>
    </xf>
    <xf numFmtId="4" fontId="37" fillId="5" borderId="4" xfId="0" applyNumberFormat="1" applyFont="1" applyFill="1" applyBorder="1" applyAlignment="1">
      <alignment horizontal="center"/>
    </xf>
    <xf numFmtId="164" fontId="46" fillId="5" borderId="1" xfId="0" applyNumberFormat="1" applyFont="1" applyFill="1" applyBorder="1" applyAlignment="1">
      <alignment horizontal="center"/>
    </xf>
    <xf numFmtId="164" fontId="46" fillId="5" borderId="3" xfId="0" applyNumberFormat="1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top" wrapText="1"/>
    </xf>
    <xf numFmtId="0" fontId="10" fillId="0" borderId="0" xfId="0" applyFont="1" applyFill="1" applyBorder="1" applyAlignment="1">
      <alignment horizontal="left"/>
    </xf>
    <xf numFmtId="0" fontId="0" fillId="0" borderId="5" xfId="0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0" fillId="0" borderId="0" xfId="0" applyFont="1" applyAlignment="1">
      <alignment vertical="top" wrapText="1"/>
    </xf>
    <xf numFmtId="0" fontId="0" fillId="0" borderId="5" xfId="0" applyBorder="1" applyAlignment="1">
      <alignment horizontal="center" vertical="center" wrapText="1"/>
    </xf>
    <xf numFmtId="0" fontId="10" fillId="0" borderId="0" xfId="0" applyFont="1" applyAlignment="1">
      <alignment vertical="top" wrapText="1"/>
    </xf>
    <xf numFmtId="0" fontId="10" fillId="2" borderId="0" xfId="0" applyFont="1" applyFill="1" applyAlignment="1">
      <alignment vertical="top" wrapText="1"/>
    </xf>
    <xf numFmtId="0" fontId="8" fillId="0" borderId="5" xfId="0" applyFont="1" applyFill="1" applyBorder="1" applyAlignment="1">
      <alignment horizontal="center" vertical="center" wrapText="1"/>
    </xf>
    <xf numFmtId="170" fontId="0" fillId="0" borderId="0" xfId="0" applyNumberFormat="1"/>
    <xf numFmtId="164" fontId="10" fillId="0" borderId="0" xfId="2" applyFont="1" applyFill="1" applyBorder="1"/>
    <xf numFmtId="164" fontId="10" fillId="0" borderId="0" xfId="2" applyFont="1" applyFill="1" applyAlignment="1">
      <alignment wrapText="1"/>
    </xf>
    <xf numFmtId="0" fontId="8" fillId="0" borderId="5" xfId="0" applyFont="1" applyFill="1" applyBorder="1" applyAlignment="1">
      <alignment wrapText="1"/>
    </xf>
    <xf numFmtId="0" fontId="8" fillId="0" borderId="5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vertical="top" wrapText="1"/>
    </xf>
    <xf numFmtId="4" fontId="1" fillId="0" borderId="5" xfId="0" applyNumberFormat="1" applyFont="1" applyFill="1" applyBorder="1"/>
    <xf numFmtId="4" fontId="50" fillId="0" borderId="5" xfId="0" applyNumberFormat="1" applyFont="1" applyFill="1" applyBorder="1"/>
    <xf numFmtId="164" fontId="37" fillId="0" borderId="5" xfId="0" applyNumberFormat="1" applyFont="1" applyFill="1" applyBorder="1" applyAlignment="1">
      <alignment horizontal="center"/>
    </xf>
    <xf numFmtId="4" fontId="37" fillId="0" borderId="1" xfId="0" applyNumberFormat="1" applyFont="1" applyFill="1" applyBorder="1" applyAlignment="1">
      <alignment horizontal="center"/>
    </xf>
    <xf numFmtId="164" fontId="37" fillId="0" borderId="5" xfId="0" applyNumberFormat="1" applyFont="1" applyFill="1" applyBorder="1"/>
    <xf numFmtId="4" fontId="37" fillId="0" borderId="3" xfId="0" applyNumberFormat="1" applyFont="1" applyFill="1" applyBorder="1" applyAlignment="1">
      <alignment horizontal="center"/>
    </xf>
    <xf numFmtId="0" fontId="37" fillId="0" borderId="0" xfId="0" applyFont="1" applyFill="1"/>
    <xf numFmtId="164" fontId="37" fillId="0" borderId="4" xfId="0" applyNumberFormat="1" applyFont="1" applyFill="1" applyBorder="1" applyAlignment="1">
      <alignment horizontal="center"/>
    </xf>
    <xf numFmtId="4" fontId="37" fillId="0" borderId="4" xfId="0" applyNumberFormat="1" applyFont="1" applyFill="1" applyBorder="1" applyAlignment="1">
      <alignment horizontal="center"/>
    </xf>
    <xf numFmtId="0" fontId="37" fillId="0" borderId="4" xfId="0" applyFont="1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10" fillId="0" borderId="0" xfId="0" applyFont="1" applyAlignment="1">
      <alignment vertical="top" wrapText="1"/>
    </xf>
    <xf numFmtId="0" fontId="0" fillId="0" borderId="5" xfId="0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/>
    </xf>
    <xf numFmtId="0" fontId="0" fillId="0" borderId="5" xfId="0" applyFill="1" applyBorder="1" applyAlignment="1">
      <alignment horizontal="center" vertical="center" wrapText="1"/>
    </xf>
    <xf numFmtId="0" fontId="51" fillId="0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Border="1" applyAlignment="1">
      <alignment horizontal="left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vertical="top" wrapText="1"/>
    </xf>
    <xf numFmtId="0" fontId="12" fillId="0" borderId="5" xfId="0" applyFont="1" applyBorder="1" applyAlignment="1">
      <alignment vertical="top" wrapText="1"/>
    </xf>
    <xf numFmtId="0" fontId="12" fillId="0" borderId="5" xfId="0" applyFont="1" applyBorder="1" applyAlignment="1">
      <alignment wrapText="1"/>
    </xf>
    <xf numFmtId="0" fontId="10" fillId="2" borderId="0" xfId="0" applyFont="1" applyFill="1" applyAlignment="1">
      <alignment vertical="top" wrapText="1"/>
    </xf>
    <xf numFmtId="0" fontId="10" fillId="0" borderId="0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37" fillId="0" borderId="4" xfId="0" applyFont="1" applyFill="1" applyBorder="1" applyAlignment="1">
      <alignment horizontal="center" vertical="center"/>
    </xf>
    <xf numFmtId="0" fontId="37" fillId="0" borderId="8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 wrapText="1"/>
    </xf>
    <xf numFmtId="0" fontId="37" fillId="0" borderId="5" xfId="0" applyFont="1" applyFill="1" applyBorder="1" applyAlignment="1">
      <alignment horizontal="center" vertical="center"/>
    </xf>
    <xf numFmtId="0" fontId="37" fillId="0" borderId="5" xfId="0" applyFont="1" applyFill="1" applyBorder="1" applyAlignment="1">
      <alignment horizontal="center"/>
    </xf>
    <xf numFmtId="0" fontId="38" fillId="0" borderId="5" xfId="0" applyFont="1" applyFill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37" fillId="0" borderId="1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37" fillId="8" borderId="5" xfId="0" applyFont="1" applyFill="1" applyBorder="1" applyAlignment="1">
      <alignment horizontal="center" vertical="center"/>
    </xf>
    <xf numFmtId="0" fontId="37" fillId="8" borderId="1" xfId="0" applyFont="1" applyFill="1" applyBorder="1" applyAlignment="1">
      <alignment horizontal="center"/>
    </xf>
    <xf numFmtId="0" fontId="37" fillId="8" borderId="3" xfId="0" applyFont="1" applyFill="1" applyBorder="1" applyAlignment="1">
      <alignment horizontal="center"/>
    </xf>
    <xf numFmtId="0" fontId="37" fillId="8" borderId="5" xfId="0" applyFont="1" applyFill="1" applyBorder="1" applyAlignment="1">
      <alignment horizontal="center"/>
    </xf>
    <xf numFmtId="0" fontId="38" fillId="8" borderId="5" xfId="0" applyFont="1" applyFill="1" applyBorder="1" applyAlignment="1">
      <alignment horizontal="center"/>
    </xf>
    <xf numFmtId="0" fontId="37" fillId="5" borderId="4" xfId="0" applyFont="1" applyFill="1" applyBorder="1" applyAlignment="1">
      <alignment horizontal="center"/>
    </xf>
    <xf numFmtId="0" fontId="37" fillId="5" borderId="8" xfId="0" applyFont="1" applyFill="1" applyBorder="1" applyAlignment="1">
      <alignment horizontal="center"/>
    </xf>
    <xf numFmtId="0" fontId="37" fillId="5" borderId="5" xfId="0" applyFont="1" applyFill="1" applyBorder="1" applyAlignment="1">
      <alignment horizontal="center" vertical="center"/>
    </xf>
    <xf numFmtId="0" fontId="37" fillId="5" borderId="5" xfId="0" applyFont="1" applyFill="1" applyBorder="1" applyAlignment="1">
      <alignment horizontal="center"/>
    </xf>
    <xf numFmtId="0" fontId="37" fillId="5" borderId="1" xfId="0" applyFont="1" applyFill="1" applyBorder="1" applyAlignment="1">
      <alignment horizontal="center"/>
    </xf>
    <xf numFmtId="0" fontId="37" fillId="5" borderId="3" xfId="0" applyFont="1" applyFill="1" applyBorder="1" applyAlignment="1">
      <alignment horizontal="center"/>
    </xf>
    <xf numFmtId="0" fontId="38" fillId="5" borderId="5" xfId="0" applyFont="1" applyFill="1" applyBorder="1" applyAlignment="1">
      <alignment horizontal="center"/>
    </xf>
    <xf numFmtId="0" fontId="37" fillId="5" borderId="2" xfId="0" applyFont="1" applyFill="1" applyBorder="1" applyAlignment="1">
      <alignment horizontal="center"/>
    </xf>
    <xf numFmtId="4" fontId="0" fillId="5" borderId="4" xfId="0" applyNumberFormat="1" applyFill="1" applyBorder="1" applyAlignment="1">
      <alignment horizontal="center" vertical="top" wrapText="1"/>
    </xf>
    <xf numFmtId="4" fontId="0" fillId="5" borderId="6" xfId="0" applyNumberFormat="1" applyFill="1" applyBorder="1" applyAlignment="1">
      <alignment horizontal="center" vertical="top" wrapText="1"/>
    </xf>
    <xf numFmtId="4" fontId="0" fillId="5" borderId="8" xfId="0" applyNumberFormat="1" applyFill="1" applyBorder="1" applyAlignment="1">
      <alignment horizontal="center" vertical="top" wrapText="1"/>
    </xf>
    <xf numFmtId="4" fontId="0" fillId="5" borderId="4" xfId="0" applyNumberFormat="1" applyFont="1" applyFill="1" applyBorder="1" applyAlignment="1">
      <alignment horizontal="center" vertical="top" wrapText="1"/>
    </xf>
    <xf numFmtId="0" fontId="10" fillId="5" borderId="0" xfId="0" applyFont="1" applyFill="1" applyBorder="1" applyAlignment="1">
      <alignment horizontal="left"/>
    </xf>
    <xf numFmtId="0" fontId="10" fillId="5" borderId="0" xfId="0" applyFont="1" applyFill="1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8" fillId="0" borderId="1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right" vertical="center"/>
    </xf>
    <xf numFmtId="0" fontId="8" fillId="0" borderId="3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horizontal="right" vertical="center" wrapText="1"/>
    </xf>
    <xf numFmtId="0" fontId="8" fillId="0" borderId="3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top" wrapText="1"/>
    </xf>
    <xf numFmtId="0" fontId="0" fillId="0" borderId="0" xfId="0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0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10" fillId="0" borderId="0" xfId="0" applyFont="1" applyBorder="1" applyAlignment="1"/>
    <xf numFmtId="0" fontId="10" fillId="0" borderId="0" xfId="0" applyFont="1" applyFill="1" applyAlignment="1">
      <alignment horizontal="center" vertical="center" wrapText="1"/>
    </xf>
    <xf numFmtId="0" fontId="22" fillId="0" borderId="5" xfId="0" applyFont="1" applyBorder="1" applyAlignment="1">
      <alignment horizontal="center"/>
    </xf>
    <xf numFmtId="0" fontId="28" fillId="0" borderId="1" xfId="0" applyNumberFormat="1" applyFont="1" applyBorder="1" applyAlignment="1">
      <alignment horizontal="center" vertical="top" wrapText="1"/>
    </xf>
    <xf numFmtId="0" fontId="28" fillId="0" borderId="2" xfId="0" applyNumberFormat="1" applyFont="1" applyBorder="1" applyAlignment="1">
      <alignment horizontal="center" vertical="top" wrapText="1"/>
    </xf>
    <xf numFmtId="0" fontId="28" fillId="0" borderId="3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horizontal="right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right"/>
    </xf>
    <xf numFmtId="0" fontId="10" fillId="0" borderId="0" xfId="0" applyFont="1" applyFill="1" applyAlignment="1">
      <alignment horizontal="center" wrapText="1"/>
    </xf>
    <xf numFmtId="0" fontId="0" fillId="0" borderId="0" xfId="0" applyFill="1" applyAlignment="1">
      <alignment wrapText="1"/>
    </xf>
    <xf numFmtId="0" fontId="10" fillId="0" borderId="1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right" vertical="top"/>
    </xf>
    <xf numFmtId="0" fontId="0" fillId="0" borderId="7" xfId="0" applyBorder="1" applyAlignment="1">
      <alignment horizontal="center" vertical="top"/>
    </xf>
    <xf numFmtId="0" fontId="10" fillId="0" borderId="10" xfId="0" applyFont="1" applyFill="1" applyBorder="1" applyAlignment="1">
      <alignment horizontal="center" vertical="top" wrapText="1"/>
    </xf>
    <xf numFmtId="0" fontId="10" fillId="0" borderId="16" xfId="0" applyFont="1" applyFill="1" applyBorder="1" applyAlignment="1">
      <alignment horizontal="center" vertical="top" wrapText="1"/>
    </xf>
    <xf numFmtId="0" fontId="10" fillId="0" borderId="11" xfId="0" applyFont="1" applyFill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vertical="top" wrapText="1"/>
    </xf>
    <xf numFmtId="0" fontId="10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top" wrapText="1"/>
    </xf>
    <xf numFmtId="0" fontId="0" fillId="0" borderId="6" xfId="0" applyFill="1" applyBorder="1" applyAlignment="1">
      <alignment horizontal="center" vertical="top" wrapText="1"/>
    </xf>
    <xf numFmtId="0" fontId="0" fillId="0" borderId="8" xfId="0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center" vertical="top" wrapText="1"/>
    </xf>
    <xf numFmtId="0" fontId="0" fillId="0" borderId="5" xfId="0" applyFill="1" applyBorder="1" applyAlignment="1">
      <alignment horizontal="center" vertical="top" wrapText="1"/>
    </xf>
    <xf numFmtId="0" fontId="10" fillId="2" borderId="0" xfId="0" applyFont="1" applyFill="1" applyBorder="1" applyAlignment="1">
      <alignment horizontal="right"/>
    </xf>
    <xf numFmtId="0" fontId="8" fillId="0" borderId="1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17" fillId="0" borderId="1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right" vertical="top"/>
    </xf>
    <xf numFmtId="0" fontId="10" fillId="0" borderId="5" xfId="0" applyFont="1" applyFill="1" applyBorder="1" applyAlignment="1">
      <alignment horizontal="center" vertical="top" wrapText="1"/>
    </xf>
    <xf numFmtId="4" fontId="10" fillId="0" borderId="5" xfId="0" applyNumberFormat="1" applyFont="1" applyBorder="1" applyAlignment="1">
      <alignment horizontal="right" vertical="top" wrapText="1"/>
    </xf>
    <xf numFmtId="0" fontId="10" fillId="0" borderId="5" xfId="0" applyFont="1" applyBorder="1" applyAlignment="1">
      <alignment horizontal="right" vertical="top" wrapText="1"/>
    </xf>
    <xf numFmtId="0" fontId="10" fillId="0" borderId="10" xfId="0" applyFont="1" applyBorder="1" applyAlignment="1">
      <alignment vertical="top" wrapText="1"/>
    </xf>
    <xf numFmtId="0" fontId="10" fillId="0" borderId="11" xfId="0" applyFont="1" applyBorder="1" applyAlignment="1">
      <alignment vertical="top" wrapText="1"/>
    </xf>
    <xf numFmtId="0" fontId="10" fillId="0" borderId="16" xfId="0" applyFont="1" applyBorder="1" applyAlignment="1">
      <alignment vertical="top" wrapText="1"/>
    </xf>
    <xf numFmtId="0" fontId="15" fillId="0" borderId="10" xfId="0" applyFont="1" applyBorder="1" applyAlignment="1">
      <alignment vertical="top" wrapText="1"/>
    </xf>
    <xf numFmtId="0" fontId="15" fillId="0" borderId="11" xfId="0" applyFont="1" applyBorder="1" applyAlignment="1">
      <alignment vertical="top" wrapText="1"/>
    </xf>
    <xf numFmtId="0" fontId="10" fillId="0" borderId="13" xfId="0" applyFont="1" applyBorder="1" applyAlignment="1">
      <alignment vertical="top" wrapText="1"/>
    </xf>
    <xf numFmtId="0" fontId="10" fillId="0" borderId="14" xfId="0" applyFont="1" applyBorder="1" applyAlignment="1">
      <alignment vertical="top" wrapText="1"/>
    </xf>
    <xf numFmtId="0" fontId="16" fillId="0" borderId="10" xfId="1" applyBorder="1" applyAlignment="1" applyProtection="1">
      <alignment vertical="top" wrapText="1"/>
    </xf>
    <xf numFmtId="0" fontId="16" fillId="0" borderId="11" xfId="1" applyBorder="1" applyAlignment="1" applyProtection="1">
      <alignment vertical="top" wrapText="1"/>
    </xf>
    <xf numFmtId="0" fontId="15" fillId="0" borderId="17" xfId="0" applyFont="1" applyBorder="1" applyAlignment="1">
      <alignment vertical="top" wrapText="1"/>
    </xf>
    <xf numFmtId="0" fontId="15" fillId="0" borderId="18" xfId="0" applyFont="1" applyBorder="1" applyAlignment="1">
      <alignment vertical="top" wrapText="1"/>
    </xf>
    <xf numFmtId="0" fontId="10" fillId="0" borderId="17" xfId="0" applyFont="1" applyBorder="1" applyAlignment="1">
      <alignment vertical="top" wrapText="1"/>
    </xf>
    <xf numFmtId="0" fontId="10" fillId="0" borderId="18" xfId="0" applyFont="1" applyBorder="1" applyAlignment="1">
      <alignment vertical="top" wrapText="1"/>
    </xf>
    <xf numFmtId="0" fontId="15" fillId="0" borderId="16" xfId="0" applyFont="1" applyBorder="1" applyAlignment="1">
      <alignment vertical="top" wrapText="1"/>
    </xf>
    <xf numFmtId="0" fontId="10" fillId="0" borderId="10" xfId="0" applyFont="1" applyFill="1" applyBorder="1" applyAlignment="1">
      <alignment vertical="top" wrapText="1"/>
    </xf>
    <xf numFmtId="0" fontId="10" fillId="0" borderId="11" xfId="0" applyFont="1" applyFill="1" applyBorder="1" applyAlignment="1">
      <alignment vertical="top" wrapText="1"/>
    </xf>
    <xf numFmtId="0" fontId="10" fillId="2" borderId="10" xfId="0" applyFont="1" applyFill="1" applyBorder="1" applyAlignment="1">
      <alignment vertical="top" wrapText="1"/>
    </xf>
    <xf numFmtId="0" fontId="10" fillId="2" borderId="11" xfId="0" applyFont="1" applyFill="1" applyBorder="1" applyAlignment="1">
      <alignment vertical="top" wrapText="1"/>
    </xf>
    <xf numFmtId="0" fontId="10" fillId="2" borderId="17" xfId="0" applyFont="1" applyFill="1" applyBorder="1" applyAlignment="1">
      <alignment vertical="top" wrapText="1"/>
    </xf>
    <xf numFmtId="0" fontId="10" fillId="2" borderId="18" xfId="0" applyFont="1" applyFill="1" applyBorder="1" applyAlignment="1">
      <alignment vertical="top" wrapText="1"/>
    </xf>
    <xf numFmtId="0" fontId="15" fillId="2" borderId="10" xfId="0" applyFont="1" applyFill="1" applyBorder="1" applyAlignment="1">
      <alignment vertical="top" wrapText="1"/>
    </xf>
    <xf numFmtId="0" fontId="15" fillId="2" borderId="11" xfId="0" applyFont="1" applyFill="1" applyBorder="1" applyAlignment="1">
      <alignment vertical="top" wrapText="1"/>
    </xf>
  </cellXfs>
  <cellStyles count="3">
    <cellStyle name="Гиперссылка" xfId="1" builtinId="8"/>
    <cellStyle name="Обычный" xfId="0" builtinId="0"/>
    <cellStyle name="Финансовый" xfId="2" builtinId="3"/>
  </cellStyles>
  <dxfs count="0"/>
  <tableStyles count="0" defaultTableStyle="TableStyleMedium9" defaultPivotStyle="PivotStyleLight16"/>
  <colors>
    <mruColors>
      <color rgb="FF0000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externalLink" Target="externalLinks/externalLink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externalLink" Target="externalLinks/externalLink1.xml"/><Relationship Id="rId9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externalLink" Target="externalLinks/externalLink4.xml"/><Relationship Id="rId9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externalLink" Target="externalLinks/externalLink3.xml"/><Relationship Id="rId98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72;&#1076;&#1084;&#1080;&#1085;/Downloads/Telegram%20Desktop/&#1056;&#1072;&#1089;&#1095;&#1077;&#1090;%20&#1085;&#1086;&#1088;&#1084;&#1072;&#1090;&#1080;&#1074;&#1072;%20&#1089;&#1090;&#1086;&#1080;&#1084;&#1086;&#1089;&#1090;&#1080;%20&#1091;&#1089;&#1083;&#1091;&#1075;%20&#1085;&#1072;%202026%20&#1075;&#1086;&#10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0;&#1051;&#1071;/&#1041;&#1070;&#1044;&#1046;&#1045;&#1058;/&#1041;&#1102;&#1076;&#1078;&#1077;&#1090;%202021/&#1055;&#1088;&#1086;&#1077;&#1082;&#1090;%20&#1073;&#1102;&#1076;&#1078;&#1077;&#1090;&#1072;/&#1056;&#1072;&#1089;&#1095;&#1077;&#1090;&#1099;/&#1053;&#1086;&#1088;&#1084;&#1099;%20-%20&#1087;&#1080;&#1090;&#1072;&#1085;&#1080;&#1077;%20&#1076;&#1086;&#1091;,%20&#1093;&#1086;&#1079;.&#1090;&#1086;&#1074;&#1072;&#1088;&#1099;,%20&#1084;&#1103;&#1075;&#1082;.&#1080;&#1085;&#1074;.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72;&#1076;&#1084;&#1080;&#1085;/Downloads/Telegram%20Desktop/&#1064;&#1072;&#1073;&#1083;&#1086;&#1085;%20&#1087;&#1088;&#1086;&#1076;&#1091;&#1082;&#1090;&#1099;%20&#1087;&#1080;&#1090;&#1072;&#1085;&#1080;&#1103;_20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72;&#1076;&#1084;&#1080;&#1085;/Downloads/Telegram%20Desktop/&#1055;&#1080;&#1090;&#1072;&#1085;&#1080;&#1077;%20&#1089;&#1072;&#1076;&#1099;_2025-2026%20&#1075;&#1086;&#1076;%20&#1076;&#1083;&#1103;%20&#1079;&#1072;&#1082;&#1091;&#1087;&#1082;&#108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72;&#1076;&#1084;&#1080;&#1085;/Downloads/Telegram%20Desktop/&#1047;&#1072;&#1082;&#1091;&#1087;&#1082;&#1080;/&#1055;&#1080;&#1090;&#1072;&#1085;&#1080;&#1077;%20&#1076;&#1086;&#1096;&#1082;&#1086;&#1083;&#1100;&#1085;&#1080;&#1082;&#1080;%20&#8212;%2007.10.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ормативы расходов"/>
      <sheetName val="норматив услуга"/>
      <sheetName val="Оъёмные показатели"/>
      <sheetName val="дошкольное образование (26г)"/>
      <sheetName val="присмотр и уход (26г)"/>
      <sheetName val="общееобразование (26г)"/>
      <sheetName val="СВОД"/>
      <sheetName val="Доп.общеразвив.прогр. (26г)"/>
      <sheetName val="Доп.образование спорт (26г)"/>
      <sheetName val="Объём дошкольное обр ясли (26)"/>
      <sheetName val="Объём школы (26)"/>
      <sheetName val="Объём допы (26)"/>
    </sheetNames>
    <sheetDataSet>
      <sheetData sheetId="0" refreshError="1"/>
      <sheetData sheetId="1" refreshError="1"/>
      <sheetData sheetId="2">
        <row r="6">
          <cell r="C6">
            <v>6981</v>
          </cell>
          <cell r="D6">
            <v>6760</v>
          </cell>
          <cell r="E6">
            <v>16054</v>
          </cell>
        </row>
        <row r="11">
          <cell r="C11">
            <v>411</v>
          </cell>
          <cell r="E11">
            <v>569</v>
          </cell>
        </row>
      </sheetData>
      <sheetData sheetId="3">
        <row r="8">
          <cell r="H8">
            <v>248266593.66</v>
          </cell>
        </row>
      </sheetData>
      <sheetData sheetId="4">
        <row r="8">
          <cell r="H8">
            <v>54172314</v>
          </cell>
        </row>
      </sheetData>
      <sheetData sheetId="5">
        <row r="8">
          <cell r="H8">
            <v>43626129.623999998</v>
          </cell>
        </row>
      </sheetData>
      <sheetData sheetId="6" refreshError="1"/>
      <sheetData sheetId="7">
        <row r="8">
          <cell r="H8">
            <v>92088536.015868932</v>
          </cell>
        </row>
      </sheetData>
      <sheetData sheetId="8">
        <row r="8">
          <cell r="H8">
            <v>52042874.024651997</v>
          </cell>
        </row>
      </sheetData>
      <sheetData sheetId="9">
        <row r="7">
          <cell r="AH7">
            <v>5531853</v>
          </cell>
        </row>
      </sheetData>
      <sheetData sheetId="10">
        <row r="6">
          <cell r="Q6">
            <v>8592469.6999999993</v>
          </cell>
        </row>
      </sheetData>
      <sheetData sheetId="11">
        <row r="6">
          <cell r="Z6">
            <v>62583108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итание"/>
      <sheetName val="питание (2)"/>
      <sheetName val="хоз. товары"/>
      <sheetName val="мягкий инвентарь"/>
    </sheetNames>
    <sheetDataSet>
      <sheetData sheetId="0" refreshError="1"/>
      <sheetData sheetId="1" refreshError="1">
        <row r="40">
          <cell r="H40">
            <v>133.73695529999998</v>
          </cell>
          <cell r="I40">
            <v>159.74055669999998</v>
          </cell>
        </row>
      </sheetData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из стоимости"/>
      <sheetName val="Расчет на 2024г. (за счет род )"/>
      <sheetName val="Расчет на 2024г. (за счет р но)"/>
      <sheetName val="Расчет на 2024г. (+3,7%)"/>
      <sheetName val="Расчет на 2024г. (+родители)"/>
      <sheetName val="Расчет на 2024г."/>
      <sheetName val="Расчет на 2024г. (новые цены)"/>
      <sheetName val="Расчет на 2024г. (новые цен (2)"/>
      <sheetName val="Расчет на 2024г. (доп.средства)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6">
          <cell r="L36">
            <v>22552.080757726821</v>
          </cell>
        </row>
        <row r="40">
          <cell r="L40">
            <v>5723.8783649052839</v>
          </cell>
          <cell r="M40">
            <v>5203.040144883792</v>
          </cell>
        </row>
      </sheetData>
      <sheetData sheetId="6" refreshError="1">
        <row r="36">
          <cell r="L36">
            <v>23382.42991533396</v>
          </cell>
        </row>
        <row r="40">
          <cell r="L40">
            <v>5759.2191909689564</v>
          </cell>
          <cell r="M40">
            <v>6118.6289794703944</v>
          </cell>
        </row>
      </sheetData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на 2025г. (родители"/>
      <sheetName val="Расчет на 2025г. (свод)"/>
      <sheetName val="Лист1"/>
    </sheetNames>
    <sheetDataSet>
      <sheetData sheetId="0" refreshError="1"/>
      <sheetData sheetId="1">
        <row r="36">
          <cell r="L36">
            <v>24303.135552913198</v>
          </cell>
          <cell r="M36">
            <v>28707.837179070524</v>
          </cell>
        </row>
        <row r="40">
          <cell r="L40">
            <v>6680.4827586206884</v>
          </cell>
          <cell r="M40">
            <v>7382.0152746181338</v>
          </cell>
          <cell r="R40">
            <v>6910.8442330558855</v>
          </cell>
          <cell r="S40">
            <v>7616.3649658758532</v>
          </cell>
        </row>
      </sheetData>
      <sheetData sheetId="2">
        <row r="36">
          <cell r="L36">
            <v>25109.400713436386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на 2026г. (родители"/>
      <sheetName val="Контингент"/>
      <sheetName val="Расчет на цены ВЕЛЕСА"/>
      <sheetName val="Расчет на цены ИНФЛЯЦИЯ"/>
      <sheetName val="Расчет на цены без учета 5% "/>
      <sheetName val="Лист1"/>
      <sheetName val="анализ"/>
      <sheetName val="расчет стоимости услуги"/>
      <sheetName val="Лист4"/>
      <sheetName val="Анализ род.платы"/>
      <sheetName val="Род.плата индексация"/>
      <sheetName val="Род.плата цены ВЕЛЕС"/>
    </sheetNames>
    <sheetDataSet>
      <sheetData sheetId="0"/>
      <sheetData sheetId="1"/>
      <sheetData sheetId="2"/>
      <sheetData sheetId="3"/>
      <sheetData sheetId="4">
        <row r="37">
          <cell r="N37">
            <v>29034.106826514209</v>
          </cell>
          <cell r="O37">
            <v>37786.836472602743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108"/>
  <sheetViews>
    <sheetView topLeftCell="B1" workbookViewId="0">
      <selection activeCell="F17" sqref="F17"/>
    </sheetView>
  </sheetViews>
  <sheetFormatPr defaultRowHeight="12.75" x14ac:dyDescent="0.2"/>
  <cols>
    <col min="1" max="1" width="0" hidden="1" customWidth="1"/>
    <col min="2" max="2" width="6.28515625" style="146" customWidth="1"/>
    <col min="3" max="3" width="89.5703125" style="139" customWidth="1"/>
    <col min="4" max="4" width="25" style="546" customWidth="1"/>
    <col min="5" max="5" width="17.28515625" style="165" customWidth="1"/>
    <col min="6" max="6" width="16.140625" style="165" customWidth="1"/>
    <col min="7" max="7" width="13.85546875" bestFit="1" customWidth="1"/>
  </cols>
  <sheetData>
    <row r="1" spans="1:7" s="24" customFormat="1" ht="15" x14ac:dyDescent="0.2">
      <c r="D1" s="543" t="s">
        <v>4569</v>
      </c>
      <c r="E1" s="295"/>
      <c r="F1" s="460"/>
      <c r="G1" s="80"/>
    </row>
    <row r="2" spans="1:7" s="24" customFormat="1" ht="15.75" customHeight="1" x14ac:dyDescent="0.2">
      <c r="D2" s="786" t="s">
        <v>4585</v>
      </c>
      <c r="E2" s="786"/>
      <c r="F2" s="786"/>
      <c r="G2" s="80"/>
    </row>
    <row r="3" spans="1:7" s="24" customFormat="1" ht="15" x14ac:dyDescent="0.2">
      <c r="C3" s="145"/>
      <c r="D3" s="548"/>
      <c r="E3" s="164"/>
      <c r="F3" s="164"/>
      <c r="G3" s="145"/>
    </row>
    <row r="4" spans="1:7" s="21" customFormat="1" ht="45.75" customHeight="1" x14ac:dyDescent="0.2">
      <c r="C4" s="785" t="s">
        <v>4595</v>
      </c>
      <c r="D4" s="785"/>
      <c r="E4" s="785"/>
      <c r="F4" s="143"/>
    </row>
    <row r="6" spans="1:7" s="138" customFormat="1" ht="40.9" customHeight="1" x14ac:dyDescent="0.2">
      <c r="A6" s="144"/>
      <c r="B6" s="147"/>
      <c r="C6" s="266" t="s">
        <v>3839</v>
      </c>
      <c r="D6" s="266" t="s">
        <v>134</v>
      </c>
      <c r="E6" s="267" t="s">
        <v>4356</v>
      </c>
      <c r="F6" s="267" t="s">
        <v>4357</v>
      </c>
    </row>
    <row r="7" spans="1:7" ht="43.5" customHeight="1" x14ac:dyDescent="0.2">
      <c r="B7" s="268">
        <v>211</v>
      </c>
      <c r="C7" s="490" t="s">
        <v>4372</v>
      </c>
      <c r="D7" s="271" t="s">
        <v>3873</v>
      </c>
      <c r="E7" s="467">
        <f>'211сады'!E33</f>
        <v>27314.27410227761</v>
      </c>
      <c r="F7" s="467">
        <f>E7</f>
        <v>27314.27410227761</v>
      </c>
    </row>
    <row r="8" spans="1:7" ht="42.75" hidden="1" customHeight="1" x14ac:dyDescent="0.2">
      <c r="B8" s="268">
        <v>211</v>
      </c>
      <c r="C8" s="490" t="s">
        <v>4172</v>
      </c>
      <c r="D8" s="271" t="s">
        <v>3873</v>
      </c>
      <c r="E8" s="467"/>
      <c r="F8" s="467">
        <f t="shared" ref="F8:F76" si="0">E8</f>
        <v>0</v>
      </c>
    </row>
    <row r="9" spans="1:7" ht="33.75" customHeight="1" x14ac:dyDescent="0.2">
      <c r="B9" s="268">
        <v>211</v>
      </c>
      <c r="C9" s="490" t="s">
        <v>4534</v>
      </c>
      <c r="D9" s="271" t="s">
        <v>3873</v>
      </c>
      <c r="E9" s="467">
        <f>'211сады'!E34</f>
        <v>6154.8816568047341</v>
      </c>
      <c r="F9" s="467">
        <f t="shared" si="0"/>
        <v>6154.8816568047341</v>
      </c>
    </row>
    <row r="10" spans="1:7" ht="42.75" hidden="1" customHeight="1" x14ac:dyDescent="0.2">
      <c r="B10" s="268">
        <v>211</v>
      </c>
      <c r="C10" s="490" t="s">
        <v>4540</v>
      </c>
      <c r="D10" s="271" t="s">
        <v>3873</v>
      </c>
      <c r="E10" s="467"/>
      <c r="F10" s="467">
        <f t="shared" si="0"/>
        <v>0</v>
      </c>
    </row>
    <row r="11" spans="1:7" ht="42.75" hidden="1" customHeight="1" x14ac:dyDescent="0.2">
      <c r="B11" s="270">
        <v>211</v>
      </c>
      <c r="C11" s="490" t="s">
        <v>4187</v>
      </c>
      <c r="D11" s="271" t="s">
        <v>3909</v>
      </c>
      <c r="E11" s="467">
        <v>0</v>
      </c>
      <c r="F11" s="467">
        <f t="shared" si="0"/>
        <v>0</v>
      </c>
    </row>
    <row r="12" spans="1:7" ht="43.5" customHeight="1" x14ac:dyDescent="0.2">
      <c r="B12" s="268">
        <v>211</v>
      </c>
      <c r="C12" s="490" t="s">
        <v>4188</v>
      </c>
      <c r="D12" s="271" t="s">
        <v>3909</v>
      </c>
      <c r="E12" s="467">
        <f>'211 цд и ют'!H194</f>
        <v>23529.115863477589</v>
      </c>
      <c r="F12" s="467">
        <f t="shared" si="0"/>
        <v>23529.115863477589</v>
      </c>
    </row>
    <row r="13" spans="1:7" ht="43.5" customHeight="1" x14ac:dyDescent="0.2">
      <c r="B13" s="268">
        <v>211</v>
      </c>
      <c r="C13" s="490" t="s">
        <v>4189</v>
      </c>
      <c r="D13" s="271" t="s">
        <v>3909</v>
      </c>
      <c r="E13" s="467">
        <f>'211 дюсш'!L218</f>
        <v>61025.168589312976</v>
      </c>
      <c r="F13" s="467">
        <f t="shared" si="0"/>
        <v>61025.168589312976</v>
      </c>
    </row>
    <row r="14" spans="1:7" ht="43.5" customHeight="1" x14ac:dyDescent="0.2">
      <c r="B14" s="268">
        <v>211</v>
      </c>
      <c r="C14" s="490" t="s">
        <v>4537</v>
      </c>
      <c r="D14" s="271" t="s">
        <v>3909</v>
      </c>
      <c r="E14" s="467">
        <f>'211 школа'!F22</f>
        <v>2087.1441385324529</v>
      </c>
      <c r="F14" s="467">
        <f t="shared" si="0"/>
        <v>2087.1441385324529</v>
      </c>
    </row>
    <row r="15" spans="1:7" ht="33" customHeight="1" x14ac:dyDescent="0.2">
      <c r="B15" s="270">
        <v>212</v>
      </c>
      <c r="C15" s="269" t="s">
        <v>3840</v>
      </c>
      <c r="D15" s="271" t="s">
        <v>3867</v>
      </c>
      <c r="E15" s="275">
        <f>'маршрут (212)'!J13</f>
        <v>0</v>
      </c>
      <c r="F15" s="467">
        <f t="shared" si="0"/>
        <v>0</v>
      </c>
    </row>
    <row r="16" spans="1:7" ht="31.5" customHeight="1" x14ac:dyDescent="0.2">
      <c r="B16" s="270">
        <v>221</v>
      </c>
      <c r="C16" s="269" t="s">
        <v>4535</v>
      </c>
      <c r="D16" s="271" t="s">
        <v>3874</v>
      </c>
      <c r="E16" s="275">
        <f>'доу 221'!G19</f>
        <v>26395.200000000001</v>
      </c>
      <c r="F16" s="467">
        <f t="shared" si="0"/>
        <v>26395.200000000001</v>
      </c>
    </row>
    <row r="17" spans="2:6" ht="33" customHeight="1" x14ac:dyDescent="0.2">
      <c r="B17" s="270">
        <v>221</v>
      </c>
      <c r="C17" s="269" t="s">
        <v>4536</v>
      </c>
      <c r="D17" s="271" t="s">
        <v>3874</v>
      </c>
      <c r="E17" s="275">
        <f>'школ 221'!G19</f>
        <v>26395.200000000001</v>
      </c>
      <c r="F17" s="467">
        <f t="shared" si="0"/>
        <v>26395.200000000001</v>
      </c>
    </row>
    <row r="18" spans="2:6" ht="22.5" customHeight="1" x14ac:dyDescent="0.2">
      <c r="B18" s="270">
        <v>221</v>
      </c>
      <c r="C18" s="269" t="s">
        <v>4032</v>
      </c>
      <c r="D18" s="271" t="s">
        <v>3874</v>
      </c>
      <c r="E18" s="275">
        <f>'доп.обр 221'!G19</f>
        <v>13962</v>
      </c>
      <c r="F18" s="467">
        <f t="shared" si="0"/>
        <v>13962</v>
      </c>
    </row>
    <row r="19" spans="2:6" ht="43.5" customHeight="1" x14ac:dyDescent="0.2">
      <c r="B19" s="270">
        <v>221</v>
      </c>
      <c r="C19" s="269" t="s">
        <v>4541</v>
      </c>
      <c r="D19" s="271" t="s">
        <v>3874</v>
      </c>
      <c r="E19" s="275">
        <f>'доу 221'!G21</f>
        <v>69735.515151515152</v>
      </c>
      <c r="F19" s="467">
        <f t="shared" si="0"/>
        <v>69735.515151515152</v>
      </c>
    </row>
    <row r="20" spans="2:6" ht="43.5" customHeight="1" x14ac:dyDescent="0.2">
      <c r="B20" s="270">
        <v>221</v>
      </c>
      <c r="C20" s="269" t="s">
        <v>4542</v>
      </c>
      <c r="D20" s="271" t="s">
        <v>3874</v>
      </c>
      <c r="E20" s="275">
        <f>'школ 221'!G21</f>
        <v>76665.333333333328</v>
      </c>
      <c r="F20" s="467">
        <f t="shared" si="0"/>
        <v>76665.333333333328</v>
      </c>
    </row>
    <row r="21" spans="2:6" ht="33.75" customHeight="1" x14ac:dyDescent="0.2">
      <c r="B21" s="270">
        <v>221</v>
      </c>
      <c r="C21" s="269" t="s">
        <v>4033</v>
      </c>
      <c r="D21" s="271" t="s">
        <v>3874</v>
      </c>
      <c r="E21" s="275">
        <f>'доп.обр 221'!G21</f>
        <v>90000</v>
      </c>
      <c r="F21" s="467">
        <f t="shared" si="0"/>
        <v>90000</v>
      </c>
    </row>
    <row r="22" spans="2:6" ht="19.5" customHeight="1" x14ac:dyDescent="0.2">
      <c r="B22" s="270">
        <v>221</v>
      </c>
      <c r="C22" s="269" t="str">
        <f>'доу 221'!B22</f>
        <v>Оказание услуг по организации и обслуживанию каналов связи до узла ЕИМТС</v>
      </c>
      <c r="D22" s="271" t="s">
        <v>3874</v>
      </c>
      <c r="E22" s="275">
        <f>'доу 221'!G22</f>
        <v>60000</v>
      </c>
      <c r="F22" s="467">
        <f>E22</f>
        <v>60000</v>
      </c>
    </row>
    <row r="23" spans="2:6" ht="43.5" customHeight="1" x14ac:dyDescent="0.2">
      <c r="B23" s="270">
        <v>223</v>
      </c>
      <c r="C23" s="269" t="s">
        <v>4543</v>
      </c>
      <c r="D23" s="271" t="s">
        <v>3868</v>
      </c>
      <c r="E23" s="275">
        <f>'вода (223)'!M12</f>
        <v>2633.3848200000002</v>
      </c>
      <c r="F23" s="467">
        <f t="shared" si="0"/>
        <v>2633.3848200000002</v>
      </c>
    </row>
    <row r="24" spans="2:6" ht="43.5" customHeight="1" x14ac:dyDescent="0.2">
      <c r="B24" s="270">
        <v>223</v>
      </c>
      <c r="C24" s="269" t="s">
        <v>4544</v>
      </c>
      <c r="D24" s="271" t="s">
        <v>3868</v>
      </c>
      <c r="E24" s="275">
        <f>'вода (223)'!M13</f>
        <v>3531.9457199999997</v>
      </c>
      <c r="F24" s="467">
        <f t="shared" si="0"/>
        <v>3531.9457199999997</v>
      </c>
    </row>
    <row r="25" spans="2:6" ht="43.5" customHeight="1" x14ac:dyDescent="0.2">
      <c r="B25" s="270">
        <v>223</v>
      </c>
      <c r="C25" s="269" t="s">
        <v>4545</v>
      </c>
      <c r="D25" s="271" t="s">
        <v>3868</v>
      </c>
      <c r="E25" s="275">
        <f>'вода (223)'!M14</f>
        <v>451.58752000000004</v>
      </c>
      <c r="F25" s="467">
        <f t="shared" si="0"/>
        <v>451.58752000000004</v>
      </c>
    </row>
    <row r="26" spans="2:6" ht="32.25" customHeight="1" x14ac:dyDescent="0.2">
      <c r="B26" s="270">
        <v>223</v>
      </c>
      <c r="C26" s="269" t="s">
        <v>3876</v>
      </c>
      <c r="D26" s="271" t="s">
        <v>3868</v>
      </c>
      <c r="E26" s="275">
        <f>'вода (223)'!M15</f>
        <v>123.99636000000001</v>
      </c>
      <c r="F26" s="467">
        <f t="shared" si="0"/>
        <v>123.99636000000001</v>
      </c>
    </row>
    <row r="27" spans="2:6" ht="33" customHeight="1" x14ac:dyDescent="0.2">
      <c r="B27" s="270">
        <v>223</v>
      </c>
      <c r="C27" s="269" t="s">
        <v>4546</v>
      </c>
      <c r="D27" s="271" t="s">
        <v>3872</v>
      </c>
      <c r="E27" s="275">
        <f>'тепло (223)'!G11</f>
        <v>581.35968000000003</v>
      </c>
      <c r="F27" s="467">
        <f t="shared" si="0"/>
        <v>581.35968000000003</v>
      </c>
    </row>
    <row r="28" spans="2:6" ht="33.75" customHeight="1" x14ac:dyDescent="0.2">
      <c r="B28" s="270">
        <v>223</v>
      </c>
      <c r="C28" s="269" t="s">
        <v>3877</v>
      </c>
      <c r="D28" s="271" t="s">
        <v>3872</v>
      </c>
      <c r="E28" s="275">
        <f>'тепло (223)'!G12</f>
        <v>452.16864000000004</v>
      </c>
      <c r="F28" s="467">
        <f t="shared" si="0"/>
        <v>452.16864000000004</v>
      </c>
    </row>
    <row r="29" spans="2:6" ht="34.5" customHeight="1" x14ac:dyDescent="0.2">
      <c r="B29" s="270">
        <v>223</v>
      </c>
      <c r="C29" s="269" t="s">
        <v>4547</v>
      </c>
      <c r="D29" s="271" t="s">
        <v>3872</v>
      </c>
      <c r="E29" s="275">
        <f>'свет (223)'!G11</f>
        <v>249.48</v>
      </c>
      <c r="F29" s="467">
        <f t="shared" si="0"/>
        <v>249.48</v>
      </c>
    </row>
    <row r="30" spans="2:6" ht="30" customHeight="1" x14ac:dyDescent="0.2">
      <c r="B30" s="270">
        <v>223</v>
      </c>
      <c r="C30" s="269" t="s">
        <v>4548</v>
      </c>
      <c r="D30" s="271" t="s">
        <v>3872</v>
      </c>
      <c r="E30" s="275">
        <f>'свет (223)'!G12</f>
        <v>234.89999999999998</v>
      </c>
      <c r="F30" s="467">
        <f t="shared" si="0"/>
        <v>234.89999999999998</v>
      </c>
    </row>
    <row r="31" spans="2:6" ht="22.5" customHeight="1" x14ac:dyDescent="0.2">
      <c r="B31" s="270">
        <v>223</v>
      </c>
      <c r="C31" s="269" t="s">
        <v>3918</v>
      </c>
      <c r="D31" s="271" t="s">
        <v>3872</v>
      </c>
      <c r="E31" s="275">
        <f>'свет (223)'!G13</f>
        <v>168.48</v>
      </c>
      <c r="F31" s="467">
        <f t="shared" si="0"/>
        <v>168.48</v>
      </c>
    </row>
    <row r="32" spans="2:6" ht="32.25" customHeight="1" x14ac:dyDescent="0.2">
      <c r="B32" s="270">
        <v>223</v>
      </c>
      <c r="C32" s="269" t="s">
        <v>4633</v>
      </c>
      <c r="D32" s="271" t="s">
        <v>3872</v>
      </c>
      <c r="E32" s="275">
        <f>'свет (223)'!G14</f>
        <v>286.73999999999995</v>
      </c>
      <c r="F32" s="467">
        <f t="shared" si="0"/>
        <v>286.73999999999995</v>
      </c>
    </row>
    <row r="33" spans="2:6" ht="43.5" customHeight="1" x14ac:dyDescent="0.2">
      <c r="B33" s="270">
        <v>223</v>
      </c>
      <c r="C33" s="269" t="s">
        <v>4549</v>
      </c>
      <c r="D33" s="271" t="s">
        <v>3868</v>
      </c>
      <c r="E33" s="275">
        <f>'ТБО (223)'!G11</f>
        <v>570.76760000000013</v>
      </c>
      <c r="F33" s="467">
        <f t="shared" si="0"/>
        <v>570.76760000000013</v>
      </c>
    </row>
    <row r="34" spans="2:6" ht="43.5" customHeight="1" x14ac:dyDescent="0.2">
      <c r="B34" s="270">
        <v>223</v>
      </c>
      <c r="C34" s="269" t="s">
        <v>4550</v>
      </c>
      <c r="D34" s="271" t="s">
        <v>3868</v>
      </c>
      <c r="E34" s="275">
        <f>'ТБО (223)'!G12</f>
        <v>439.05200000000008</v>
      </c>
      <c r="F34" s="467">
        <f t="shared" si="0"/>
        <v>439.05200000000008</v>
      </c>
    </row>
    <row r="35" spans="2:6" ht="43.5" customHeight="1" x14ac:dyDescent="0.2">
      <c r="B35" s="270">
        <v>223</v>
      </c>
      <c r="C35" s="269" t="s">
        <v>4549</v>
      </c>
      <c r="D35" s="271" t="s">
        <v>3868</v>
      </c>
      <c r="E35" s="275">
        <f>'ТБО (223)'!G13</f>
        <v>351.24160000000006</v>
      </c>
      <c r="F35" s="467">
        <f>E35</f>
        <v>351.24160000000006</v>
      </c>
    </row>
    <row r="36" spans="2:6" ht="14.25" hidden="1" customHeight="1" x14ac:dyDescent="0.2">
      <c r="B36" s="270"/>
      <c r="C36" s="269"/>
      <c r="D36" s="271"/>
      <c r="E36" s="275"/>
      <c r="F36" s="467"/>
    </row>
    <row r="37" spans="2:6" ht="19.5" customHeight="1" x14ac:dyDescent="0.2">
      <c r="B37" s="270">
        <v>224</v>
      </c>
      <c r="C37" s="269" t="s">
        <v>3848</v>
      </c>
      <c r="D37" s="271" t="s">
        <v>3874</v>
      </c>
      <c r="E37" s="275">
        <f>'Аренда помещений (224)'!G11</f>
        <v>15302285.414555999</v>
      </c>
      <c r="F37" s="275">
        <f t="shared" si="0"/>
        <v>15302285.414555999</v>
      </c>
    </row>
    <row r="38" spans="2:6" ht="33" customHeight="1" x14ac:dyDescent="0.2">
      <c r="B38" s="270">
        <v>225</v>
      </c>
      <c r="C38" s="269" t="s">
        <v>4591</v>
      </c>
      <c r="D38" s="271" t="s">
        <v>3874</v>
      </c>
      <c r="E38" s="275">
        <f>'Аренда контейнера (225)'!D12</f>
        <v>6912.5</v>
      </c>
      <c r="F38" s="275">
        <f>'Аренда контейнера (225)'!F12</f>
        <v>6912.5</v>
      </c>
    </row>
    <row r="39" spans="2:6" ht="42.75" hidden="1" customHeight="1" x14ac:dyDescent="0.2">
      <c r="B39" s="270">
        <v>225</v>
      </c>
      <c r="C39" s="269" t="s">
        <v>4549</v>
      </c>
      <c r="D39" s="271" t="s">
        <v>3873</v>
      </c>
      <c r="E39" s="275"/>
      <c r="F39" s="275"/>
    </row>
    <row r="40" spans="2:6" ht="42.75" hidden="1" customHeight="1" x14ac:dyDescent="0.2">
      <c r="B40" s="270">
        <v>225</v>
      </c>
      <c r="C40" s="269" t="s">
        <v>4550</v>
      </c>
      <c r="D40" s="271" t="s">
        <v>3909</v>
      </c>
      <c r="E40" s="275"/>
      <c r="F40" s="275"/>
    </row>
    <row r="41" spans="2:6" ht="42.75" hidden="1" customHeight="1" x14ac:dyDescent="0.2">
      <c r="B41" s="270">
        <v>225</v>
      </c>
      <c r="C41" s="269" t="s">
        <v>4549</v>
      </c>
      <c r="D41" s="271" t="s">
        <v>3909</v>
      </c>
      <c r="E41" s="275"/>
      <c r="F41" s="275"/>
    </row>
    <row r="42" spans="2:6" ht="23.25" customHeight="1" x14ac:dyDescent="0.2">
      <c r="B42" s="270">
        <v>225</v>
      </c>
      <c r="C42" s="269" t="s">
        <v>4632</v>
      </c>
      <c r="D42" s="271" t="s">
        <v>3919</v>
      </c>
      <c r="E42" s="275">
        <f>'дератиз (225)'!G12+'дератиз (225)'!G13</f>
        <v>98.399999999999991</v>
      </c>
      <c r="F42" s="275">
        <f t="shared" si="0"/>
        <v>98.399999999999991</v>
      </c>
    </row>
    <row r="43" spans="2:6" ht="14.25" hidden="1" customHeight="1" x14ac:dyDescent="0.2">
      <c r="B43" s="270">
        <v>225</v>
      </c>
      <c r="C43" s="269" t="s">
        <v>3849</v>
      </c>
      <c r="D43" s="271" t="s">
        <v>3919</v>
      </c>
      <c r="E43" s="275"/>
      <c r="F43" s="275">
        <f t="shared" si="0"/>
        <v>0</v>
      </c>
    </row>
    <row r="44" spans="2:6" s="265" customFormat="1" ht="35.25" customHeight="1" x14ac:dyDescent="0.2">
      <c r="B44" s="270">
        <v>225</v>
      </c>
      <c r="C44" s="269" t="s">
        <v>4112</v>
      </c>
      <c r="D44" s="271" t="s">
        <v>4113</v>
      </c>
      <c r="E44" s="275">
        <f>'дератиз (225)'!G14</f>
        <v>6.4</v>
      </c>
      <c r="F44" s="275">
        <f t="shared" si="0"/>
        <v>6.4</v>
      </c>
    </row>
    <row r="45" spans="2:6" s="265" customFormat="1" ht="24.75" customHeight="1" x14ac:dyDescent="0.2">
      <c r="B45" s="270">
        <v>225</v>
      </c>
      <c r="C45" s="269" t="s">
        <v>4373</v>
      </c>
      <c r="D45" s="271" t="s">
        <v>3872</v>
      </c>
      <c r="E45" s="275">
        <f>'дератиз (225)'!G15</f>
        <v>38.400000000000006</v>
      </c>
      <c r="F45" s="275">
        <f>E45</f>
        <v>38.400000000000006</v>
      </c>
    </row>
    <row r="46" spans="2:6" ht="24.75" customHeight="1" x14ac:dyDescent="0.2">
      <c r="B46" s="270">
        <v>225</v>
      </c>
      <c r="C46" s="269" t="s">
        <v>4129</v>
      </c>
      <c r="D46" s="271" t="s">
        <v>3919</v>
      </c>
      <c r="E46" s="275">
        <f>'ТО здан (225)'!G12</f>
        <v>122.16</v>
      </c>
      <c r="F46" s="275">
        <f t="shared" si="0"/>
        <v>122.16</v>
      </c>
    </row>
    <row r="47" spans="2:6" ht="24" customHeight="1" x14ac:dyDescent="0.2">
      <c r="B47" s="270">
        <v>225</v>
      </c>
      <c r="C47" s="269" t="s">
        <v>3850</v>
      </c>
      <c r="D47" s="271" t="s">
        <v>3966</v>
      </c>
      <c r="E47" s="275">
        <f>'ТО бассейн (225)'!G12</f>
        <v>111622.56</v>
      </c>
      <c r="F47" s="275">
        <f t="shared" si="0"/>
        <v>111622.56</v>
      </c>
    </row>
    <row r="48" spans="2:6" ht="42.75" hidden="1" customHeight="1" x14ac:dyDescent="0.2">
      <c r="B48" s="270">
        <v>225</v>
      </c>
      <c r="C48" s="269" t="s">
        <v>4551</v>
      </c>
      <c r="D48" s="271" t="s">
        <v>3874</v>
      </c>
      <c r="E48" s="275">
        <f>'ТО столов. оборуд. доу (225)'!G25</f>
        <v>0</v>
      </c>
      <c r="F48" s="275">
        <f t="shared" si="0"/>
        <v>0</v>
      </c>
    </row>
    <row r="49" spans="2:6" ht="42.75" hidden="1" customHeight="1" x14ac:dyDescent="0.2">
      <c r="B49" s="270">
        <v>225</v>
      </c>
      <c r="C49" s="269" t="s">
        <v>4552</v>
      </c>
      <c r="D49" s="271" t="s">
        <v>3874</v>
      </c>
      <c r="E49" s="275">
        <f>'ТО столов. оборуд. шк. (225)'!G22</f>
        <v>0</v>
      </c>
      <c r="F49" s="275">
        <f t="shared" si="0"/>
        <v>0</v>
      </c>
    </row>
    <row r="50" spans="2:6" ht="36" customHeight="1" x14ac:dyDescent="0.2">
      <c r="B50" s="270">
        <v>225</v>
      </c>
      <c r="C50" s="269" t="s">
        <v>3851</v>
      </c>
      <c r="D50" s="271" t="s">
        <v>3920</v>
      </c>
      <c r="E50" s="275">
        <f>'ТО прач.обор. (225)'!G14</f>
        <v>120000</v>
      </c>
      <c r="F50" s="275">
        <f t="shared" si="0"/>
        <v>120000</v>
      </c>
    </row>
    <row r="51" spans="2:6" ht="28.5" hidden="1" customHeight="1" x14ac:dyDescent="0.2">
      <c r="B51" s="270">
        <v>225</v>
      </c>
      <c r="C51" s="269" t="s">
        <v>3852</v>
      </c>
      <c r="D51" s="271" t="s">
        <v>3920</v>
      </c>
      <c r="E51" s="275"/>
      <c r="F51" s="275">
        <f t="shared" si="0"/>
        <v>0</v>
      </c>
    </row>
    <row r="52" spans="2:6" ht="22.5" customHeight="1" x14ac:dyDescent="0.2">
      <c r="B52" s="270">
        <v>225</v>
      </c>
      <c r="C52" s="269" t="s">
        <v>3853</v>
      </c>
      <c r="D52" s="271" t="s">
        <v>3869</v>
      </c>
      <c r="E52" s="275">
        <f>'ТО АПС (225)'!G13</f>
        <v>187200</v>
      </c>
      <c r="F52" s="275">
        <f t="shared" si="0"/>
        <v>187200</v>
      </c>
    </row>
    <row r="53" spans="2:6" ht="23.25" customHeight="1" x14ac:dyDescent="0.2">
      <c r="B53" s="270">
        <v>225</v>
      </c>
      <c r="C53" s="269" t="s">
        <v>3854</v>
      </c>
      <c r="D53" s="271" t="s">
        <v>3869</v>
      </c>
      <c r="E53" s="275">
        <f>'ТО КТС (225)'!G12</f>
        <v>32674.560000000001</v>
      </c>
      <c r="F53" s="275">
        <f t="shared" si="0"/>
        <v>32674.560000000001</v>
      </c>
    </row>
    <row r="54" spans="2:6" ht="14.25" hidden="1" customHeight="1" x14ac:dyDescent="0.2">
      <c r="B54" s="270">
        <v>225</v>
      </c>
      <c r="C54" s="269" t="s">
        <v>3855</v>
      </c>
      <c r="D54" s="271" t="s">
        <v>3869</v>
      </c>
      <c r="E54" s="275">
        <f>'ТО узел учета (225)'!G15</f>
        <v>0</v>
      </c>
      <c r="F54" s="275">
        <f t="shared" si="0"/>
        <v>0</v>
      </c>
    </row>
    <row r="55" spans="2:6" ht="23.25" customHeight="1" x14ac:dyDescent="0.2">
      <c r="B55" s="270">
        <v>225</v>
      </c>
      <c r="C55" s="269" t="s">
        <v>3856</v>
      </c>
      <c r="D55" s="271" t="s">
        <v>3874</v>
      </c>
      <c r="E55" s="275">
        <f>'ТО комп.техн. (225)'!G14</f>
        <v>13200</v>
      </c>
      <c r="F55" s="275">
        <f t="shared" si="0"/>
        <v>13200</v>
      </c>
    </row>
    <row r="56" spans="2:6" ht="21.75" customHeight="1" x14ac:dyDescent="0.2">
      <c r="B56" s="270">
        <v>225</v>
      </c>
      <c r="C56" s="269" t="s">
        <v>4150</v>
      </c>
      <c r="D56" s="271" t="s">
        <v>3869</v>
      </c>
      <c r="E56" s="275">
        <f>'ТО видеонаблюд (225)'!G16</f>
        <v>39420</v>
      </c>
      <c r="F56" s="275">
        <f t="shared" si="0"/>
        <v>39420</v>
      </c>
    </row>
    <row r="57" spans="2:6" ht="20.25" customHeight="1" x14ac:dyDescent="0.2">
      <c r="B57" s="270">
        <v>225</v>
      </c>
      <c r="C57" s="269" t="s">
        <v>3857</v>
      </c>
      <c r="D57" s="271" t="s">
        <v>25</v>
      </c>
      <c r="E57" s="275">
        <f>'ТО домофон (225)'!G17</f>
        <v>3023.6400000000003</v>
      </c>
      <c r="F57" s="275">
        <f>E57</f>
        <v>3023.6400000000003</v>
      </c>
    </row>
    <row r="58" spans="2:6" ht="24.75" customHeight="1" x14ac:dyDescent="0.2">
      <c r="B58" s="270">
        <v>225</v>
      </c>
      <c r="C58" s="269" t="s">
        <v>4371</v>
      </c>
      <c r="D58" s="271" t="s">
        <v>3874</v>
      </c>
      <c r="E58" s="275">
        <f>'Опиловка  (225)'!G18</f>
        <v>24700</v>
      </c>
      <c r="F58" s="275">
        <f>E58</f>
        <v>24700</v>
      </c>
    </row>
    <row r="59" spans="2:6" ht="43.5" customHeight="1" x14ac:dyDescent="0.2">
      <c r="B59" s="270">
        <v>225</v>
      </c>
      <c r="C59" s="269" t="s">
        <v>4553</v>
      </c>
      <c r="D59" s="271" t="s">
        <v>3869</v>
      </c>
      <c r="E59" s="275">
        <f>'РСО доу-внешк (225)'!G11</f>
        <v>1550</v>
      </c>
      <c r="F59" s="275">
        <f t="shared" si="0"/>
        <v>1550</v>
      </c>
    </row>
    <row r="60" spans="2:6" ht="43.5" customHeight="1" x14ac:dyDescent="0.2">
      <c r="B60" s="270">
        <v>225</v>
      </c>
      <c r="C60" s="269" t="s">
        <v>4554</v>
      </c>
      <c r="D60" s="271" t="s">
        <v>3869</v>
      </c>
      <c r="E60" s="275">
        <f>'РСО шк. (225)'!G11</f>
        <v>4650</v>
      </c>
      <c r="F60" s="275">
        <f t="shared" si="0"/>
        <v>4650</v>
      </c>
    </row>
    <row r="61" spans="2:6" ht="43.5" customHeight="1" x14ac:dyDescent="0.2">
      <c r="B61" s="270">
        <v>225</v>
      </c>
      <c r="C61" s="269" t="s">
        <v>4555</v>
      </c>
      <c r="D61" s="271" t="s">
        <v>3965</v>
      </c>
      <c r="E61" s="275">
        <f>'СЭС доу (225)'!F31</f>
        <v>117941.22</v>
      </c>
      <c r="F61" s="275">
        <f t="shared" si="0"/>
        <v>117941.22</v>
      </c>
    </row>
    <row r="62" spans="2:6" ht="43.5" customHeight="1" x14ac:dyDescent="0.2">
      <c r="B62" s="270">
        <v>225</v>
      </c>
      <c r="C62" s="269" t="s">
        <v>4556</v>
      </c>
      <c r="D62" s="271" t="s">
        <v>3965</v>
      </c>
      <c r="E62" s="275">
        <f>'СЭС доу (225)'!F42</f>
        <v>137805.82</v>
      </c>
      <c r="F62" s="275">
        <f t="shared" si="0"/>
        <v>137805.82</v>
      </c>
    </row>
    <row r="63" spans="2:6" ht="43.5" customHeight="1" x14ac:dyDescent="0.2">
      <c r="B63" s="270">
        <v>225</v>
      </c>
      <c r="C63" s="269" t="s">
        <v>4557</v>
      </c>
      <c r="D63" s="271" t="s">
        <v>3965</v>
      </c>
      <c r="E63" s="275">
        <f>'СЭС шк. (225)'!F31</f>
        <v>20911.46</v>
      </c>
      <c r="F63" s="275">
        <f t="shared" si="0"/>
        <v>20911.46</v>
      </c>
    </row>
    <row r="64" spans="2:6" ht="32.25" customHeight="1" x14ac:dyDescent="0.2">
      <c r="B64" s="270">
        <v>225</v>
      </c>
      <c r="C64" s="269" t="s">
        <v>4151</v>
      </c>
      <c r="D64" s="271" t="s">
        <v>3965</v>
      </c>
      <c r="E64" s="275">
        <f>'СЭС внешк. (225)'!F30</f>
        <v>34317.96</v>
      </c>
      <c r="F64" s="275">
        <f t="shared" si="0"/>
        <v>34317.96</v>
      </c>
    </row>
    <row r="65" spans="2:6" ht="33" customHeight="1" x14ac:dyDescent="0.2">
      <c r="B65" s="270">
        <v>226</v>
      </c>
      <c r="C65" s="269" t="str">
        <f>'охрана 226 '!B11</f>
        <v>Норматив стоимости услуги по охране зданий в общеобразовательных учреждениях в зданиях, используемых для реализации программ дошкольного образования</v>
      </c>
      <c r="D65" s="271" t="s">
        <v>4670</v>
      </c>
      <c r="E65" s="275">
        <f>'охрана 226 '!J11</f>
        <v>2452800</v>
      </c>
      <c r="F65" s="275">
        <f>'охрана 226 '!J11</f>
        <v>2452800</v>
      </c>
    </row>
    <row r="66" spans="2:6" ht="36.75" customHeight="1" x14ac:dyDescent="0.2">
      <c r="B66" s="270">
        <v>226</v>
      </c>
      <c r="C66" s="269" t="str">
        <f>'охрана 226 '!B12</f>
        <v>Норматив стоимости услуги по охране зданий в общеобразовательных учреждениях без учета зданий, используемых для реализации программ дошкольного образования</v>
      </c>
      <c r="D66" s="271" t="s">
        <v>4670</v>
      </c>
      <c r="E66" s="275">
        <f>'охрана 226 '!J12</f>
        <v>3098280</v>
      </c>
      <c r="F66" s="275">
        <f>E66</f>
        <v>3098280</v>
      </c>
    </row>
    <row r="67" spans="2:6" ht="36" customHeight="1" x14ac:dyDescent="0.2">
      <c r="B67" s="270">
        <v>226</v>
      </c>
      <c r="C67" s="269" t="str">
        <f>'охрана 226 '!B14</f>
        <v>Норматив стоимости услуги по охране зданий в организациях дополнительного образования</v>
      </c>
      <c r="D67" s="271" t="s">
        <v>4670</v>
      </c>
      <c r="E67" s="275">
        <f>'охрана 226 '!J14</f>
        <v>2452800</v>
      </c>
      <c r="F67" s="275">
        <f>E67</f>
        <v>2452800</v>
      </c>
    </row>
    <row r="68" spans="2:6" ht="20.25" customHeight="1" x14ac:dyDescent="0.2">
      <c r="B68" s="270">
        <v>226</v>
      </c>
      <c r="C68" s="269" t="s">
        <v>3858</v>
      </c>
      <c r="D68" s="271" t="s">
        <v>3870</v>
      </c>
      <c r="E68" s="275">
        <v>650</v>
      </c>
      <c r="F68" s="275">
        <f>E68</f>
        <v>650</v>
      </c>
    </row>
    <row r="69" spans="2:6" ht="17.25" customHeight="1" x14ac:dyDescent="0.2">
      <c r="B69" s="270">
        <v>226</v>
      </c>
      <c r="C69" s="269" t="s">
        <v>3859</v>
      </c>
      <c r="D69" s="271" t="s">
        <v>3871</v>
      </c>
      <c r="E69" s="275">
        <f>'мед.осмотры (226)'!G33</f>
        <v>4874</v>
      </c>
      <c r="F69" s="275">
        <f t="shared" si="0"/>
        <v>4874</v>
      </c>
    </row>
    <row r="70" spans="2:6" ht="42.75" hidden="1" customHeight="1" x14ac:dyDescent="0.2">
      <c r="B70" s="270">
        <v>226</v>
      </c>
      <c r="C70" s="269" t="s">
        <v>4558</v>
      </c>
      <c r="D70" s="271" t="s">
        <v>3874</v>
      </c>
      <c r="E70" s="275"/>
      <c r="F70" s="275">
        <f t="shared" si="0"/>
        <v>0</v>
      </c>
    </row>
    <row r="71" spans="2:6" ht="43.5" customHeight="1" x14ac:dyDescent="0.2">
      <c r="B71" s="270">
        <v>226</v>
      </c>
      <c r="C71" s="269" t="s">
        <v>4559</v>
      </c>
      <c r="D71" s="271" t="s">
        <v>3874</v>
      </c>
      <c r="E71" s="275">
        <f>'подписка шк (226)'!G17</f>
        <v>40317.24</v>
      </c>
      <c r="F71" s="275">
        <f t="shared" si="0"/>
        <v>40317.24</v>
      </c>
    </row>
    <row r="72" spans="2:6" ht="32.25" customHeight="1" x14ac:dyDescent="0.2">
      <c r="B72" s="270">
        <v>226</v>
      </c>
      <c r="C72" s="269" t="s">
        <v>3907</v>
      </c>
      <c r="D72" s="271" t="s">
        <v>3874</v>
      </c>
      <c r="E72" s="275">
        <f>'подписка доп.образ (226)'!G14</f>
        <v>15738.72</v>
      </c>
      <c r="F72" s="275">
        <f t="shared" si="0"/>
        <v>15738.72</v>
      </c>
    </row>
    <row r="73" spans="2:6" ht="42.75" hidden="1" customHeight="1" x14ac:dyDescent="0.2">
      <c r="B73" s="270">
        <v>226</v>
      </c>
      <c r="C73" s="269" t="s">
        <v>4560</v>
      </c>
      <c r="D73" s="271" t="s">
        <v>3874</v>
      </c>
      <c r="E73" s="275">
        <f>'архивац. доу(226)'!H14</f>
        <v>0</v>
      </c>
      <c r="F73" s="275">
        <f t="shared" si="0"/>
        <v>0</v>
      </c>
    </row>
    <row r="74" spans="2:6" ht="42.75" hidden="1" customHeight="1" x14ac:dyDescent="0.2">
      <c r="B74" s="270">
        <v>226</v>
      </c>
      <c r="C74" s="269" t="s">
        <v>4561</v>
      </c>
      <c r="D74" s="271" t="s">
        <v>3874</v>
      </c>
      <c r="E74" s="275">
        <f>'архивац.шк. (226)'!H15</f>
        <v>0</v>
      </c>
      <c r="F74" s="275">
        <f t="shared" si="0"/>
        <v>0</v>
      </c>
    </row>
    <row r="75" spans="2:6" ht="14.25" hidden="1" customHeight="1" x14ac:dyDescent="0.2">
      <c r="B75" s="270">
        <v>226</v>
      </c>
      <c r="C75" s="269" t="s">
        <v>3860</v>
      </c>
      <c r="D75" s="271" t="s">
        <v>3874</v>
      </c>
      <c r="E75" s="275">
        <f>'эл.подпис (226)'!G11</f>
        <v>0</v>
      </c>
      <c r="F75" s="275">
        <f t="shared" si="0"/>
        <v>0</v>
      </c>
    </row>
    <row r="76" spans="2:6" ht="21" customHeight="1" x14ac:dyDescent="0.2">
      <c r="B76" s="270">
        <v>226</v>
      </c>
      <c r="C76" s="269" t="s">
        <v>3861</v>
      </c>
      <c r="D76" s="271" t="s">
        <v>3874</v>
      </c>
      <c r="E76" s="275">
        <f>'обучение сотр.(226)'!G18</f>
        <v>16900</v>
      </c>
      <c r="F76" s="275">
        <f t="shared" si="0"/>
        <v>16900</v>
      </c>
    </row>
    <row r="77" spans="2:6" ht="14.25" hidden="1" customHeight="1" x14ac:dyDescent="0.2">
      <c r="B77" s="270"/>
      <c r="C77" s="269"/>
      <c r="D77" s="271"/>
      <c r="E77" s="275"/>
      <c r="F77" s="275"/>
    </row>
    <row r="78" spans="2:6" ht="38.25" customHeight="1" x14ac:dyDescent="0.2">
      <c r="B78" s="270">
        <v>226</v>
      </c>
      <c r="C78" s="269" t="s">
        <v>4309</v>
      </c>
      <c r="D78" s="271" t="s">
        <v>3868</v>
      </c>
      <c r="E78" s="275">
        <f>'питание (226) аутс26'!I12</f>
        <v>6910.8442330558855</v>
      </c>
      <c r="F78" s="275">
        <f>'питание (226) аутс26'!G11</f>
        <v>6910.8442330558855</v>
      </c>
    </row>
    <row r="79" spans="2:6" ht="35.25" customHeight="1" x14ac:dyDescent="0.2">
      <c r="B79" s="270">
        <v>226</v>
      </c>
      <c r="C79" s="269" t="s">
        <v>4310</v>
      </c>
      <c r="D79" s="271" t="s">
        <v>3868</v>
      </c>
      <c r="E79" s="275">
        <f>'питание (226) аутс26'!J12</f>
        <v>7616.3649658758532</v>
      </c>
      <c r="F79" s="275">
        <f>'питание (226) аутс26'!J11</f>
        <v>7616.3649658758532</v>
      </c>
    </row>
    <row r="80" spans="2:6" ht="34.5" customHeight="1" x14ac:dyDescent="0.2">
      <c r="B80" s="270">
        <v>226</v>
      </c>
      <c r="C80" s="269" t="s">
        <v>4311</v>
      </c>
      <c r="D80" s="271" t="s">
        <v>3868</v>
      </c>
      <c r="E80" s="275">
        <f>'питание (226) аутс (льг)'!I11</f>
        <v>29034.106826514209</v>
      </c>
      <c r="F80" s="275">
        <f>E80</f>
        <v>29034.106826514209</v>
      </c>
    </row>
    <row r="81" spans="2:7" ht="35.25" customHeight="1" x14ac:dyDescent="0.2">
      <c r="B81" s="270">
        <v>226</v>
      </c>
      <c r="C81" s="269" t="s">
        <v>4312</v>
      </c>
      <c r="D81" s="271" t="s">
        <v>3868</v>
      </c>
      <c r="E81" s="275">
        <f>'питание (226) аутс (льг) (25)'!J12</f>
        <v>37786.836472602743</v>
      </c>
      <c r="F81" s="275">
        <f>'питание (226) аутс (льг) (25)'!J11</f>
        <v>37786.836472602743</v>
      </c>
    </row>
    <row r="82" spans="2:7" ht="30" customHeight="1" x14ac:dyDescent="0.2">
      <c r="B82" s="270">
        <v>226</v>
      </c>
      <c r="C82" s="269" t="s">
        <v>4375</v>
      </c>
      <c r="D82" s="271" t="s">
        <v>3871</v>
      </c>
      <c r="E82" s="275">
        <f>'ДЮСШ спорт 226 тренера'!G21</f>
        <v>76294.600000000006</v>
      </c>
      <c r="F82" s="275">
        <f t="shared" ref="F82:F108" si="1">E82</f>
        <v>76294.600000000006</v>
      </c>
    </row>
    <row r="83" spans="2:7" ht="35.25" customHeight="1" x14ac:dyDescent="0.2">
      <c r="B83" s="270">
        <v>226</v>
      </c>
      <c r="C83" s="269" t="s">
        <v>4378</v>
      </c>
      <c r="D83" s="271" t="s">
        <v>3868</v>
      </c>
      <c r="E83" s="275">
        <f>'ДЮСШ спорт 226 спот-ны'!G21</f>
        <v>6367.65</v>
      </c>
      <c r="F83" s="275">
        <f t="shared" si="1"/>
        <v>6367.65</v>
      </c>
    </row>
    <row r="84" spans="2:7" ht="28.5" hidden="1" customHeight="1" x14ac:dyDescent="0.2">
      <c r="B84" s="270">
        <v>226</v>
      </c>
      <c r="C84" s="269" t="s">
        <v>4121</v>
      </c>
      <c r="D84" s="269" t="s">
        <v>4130</v>
      </c>
      <c r="E84" s="275">
        <f>'налоги Имущ (290)'!F15</f>
        <v>0</v>
      </c>
      <c r="F84" s="275">
        <f t="shared" si="1"/>
        <v>0</v>
      </c>
      <c r="G84" s="381"/>
    </row>
    <row r="85" spans="2:7" ht="28.5" hidden="1" customHeight="1" x14ac:dyDescent="0.2">
      <c r="B85" s="270">
        <v>226</v>
      </c>
      <c r="C85" s="269" t="s">
        <v>4122</v>
      </c>
      <c r="D85" s="269" t="s">
        <v>4130</v>
      </c>
      <c r="E85" s="275">
        <f>'налоги Имущ (290)'!F16</f>
        <v>0</v>
      </c>
      <c r="F85" s="275">
        <f t="shared" si="1"/>
        <v>0</v>
      </c>
    </row>
    <row r="86" spans="2:7" ht="28.5" hidden="1" customHeight="1" x14ac:dyDescent="0.2">
      <c r="B86" s="270">
        <v>226</v>
      </c>
      <c r="C86" s="269" t="s">
        <v>4123</v>
      </c>
      <c r="D86" s="269" t="s">
        <v>4130</v>
      </c>
      <c r="E86" s="275">
        <f>'налоги Имущ (290)'!F17</f>
        <v>0</v>
      </c>
      <c r="F86" s="275">
        <f t="shared" si="1"/>
        <v>0</v>
      </c>
    </row>
    <row r="87" spans="2:7" ht="43.5" customHeight="1" x14ac:dyDescent="0.2">
      <c r="B87" s="270">
        <v>226</v>
      </c>
      <c r="C87" s="269" t="s">
        <v>4709</v>
      </c>
      <c r="D87" s="269" t="s">
        <v>4710</v>
      </c>
      <c r="E87" s="275">
        <f>'ДЮСШ спорт 226 чл. взносы'!G21</f>
        <v>360000</v>
      </c>
      <c r="F87" s="275">
        <f>E87</f>
        <v>360000</v>
      </c>
    </row>
    <row r="88" spans="2:7" ht="30.75" customHeight="1" x14ac:dyDescent="0.2">
      <c r="B88" s="270">
        <v>290</v>
      </c>
      <c r="C88" s="269" t="s">
        <v>4713</v>
      </c>
      <c r="D88" s="269" t="s">
        <v>3874</v>
      </c>
      <c r="E88" s="275">
        <f>'налоги Имущ (290)'!F11</f>
        <v>624.43899285238354</v>
      </c>
      <c r="F88" s="275">
        <f t="shared" si="1"/>
        <v>624.43899285238354</v>
      </c>
    </row>
    <row r="89" spans="2:7" ht="30.75" customHeight="1" x14ac:dyDescent="0.2">
      <c r="B89" s="270">
        <v>290</v>
      </c>
      <c r="C89" s="269" t="s">
        <v>4712</v>
      </c>
      <c r="D89" s="269" t="s">
        <v>3874</v>
      </c>
      <c r="E89" s="275">
        <f>'налоги Имущ (290)'!F12</f>
        <v>773.01845064156851</v>
      </c>
      <c r="F89" s="275">
        <f t="shared" si="1"/>
        <v>773.01845064156851</v>
      </c>
    </row>
    <row r="90" spans="2:7" ht="19.5" customHeight="1" x14ac:dyDescent="0.2">
      <c r="B90" s="270">
        <v>290</v>
      </c>
      <c r="C90" s="269" t="s">
        <v>4711</v>
      </c>
      <c r="D90" s="269" t="s">
        <v>3874</v>
      </c>
      <c r="E90" s="275">
        <f>'налоги Имущ (290)'!F13</f>
        <v>54.550930799392411</v>
      </c>
      <c r="F90" s="275">
        <f t="shared" si="1"/>
        <v>54.550930799392411</v>
      </c>
    </row>
    <row r="91" spans="2:7" ht="36" customHeight="1" x14ac:dyDescent="0.2">
      <c r="B91" s="270">
        <v>310</v>
      </c>
      <c r="C91" s="269" t="s">
        <v>4562</v>
      </c>
      <c r="D91" s="271" t="s">
        <v>3868</v>
      </c>
      <c r="E91" s="275">
        <f>'оборудов. шк. (310)'!J44</f>
        <v>3217.6566300366303</v>
      </c>
      <c r="F91" s="275">
        <f t="shared" si="1"/>
        <v>3217.6566300366303</v>
      </c>
    </row>
    <row r="92" spans="2:7" ht="32.25" customHeight="1" x14ac:dyDescent="0.2">
      <c r="B92" s="270">
        <v>310</v>
      </c>
      <c r="C92" s="269" t="s">
        <v>4563</v>
      </c>
      <c r="D92" s="271" t="s">
        <v>3868</v>
      </c>
      <c r="E92" s="275">
        <f>'оборудов. сад образоват.(310)'!J40</f>
        <v>366.81039999999996</v>
      </c>
      <c r="F92" s="275">
        <f t="shared" si="1"/>
        <v>366.81039999999996</v>
      </c>
    </row>
    <row r="93" spans="2:7" ht="33" customHeight="1" x14ac:dyDescent="0.2">
      <c r="B93" s="270">
        <v>310</v>
      </c>
      <c r="C93" s="269" t="s">
        <v>4194</v>
      </c>
      <c r="D93" s="271" t="s">
        <v>3868</v>
      </c>
      <c r="E93" s="275">
        <f>'оборудов. сад содерж (310)'!J44</f>
        <v>2635.7047465926294</v>
      </c>
      <c r="F93" s="275">
        <f t="shared" si="1"/>
        <v>2635.7047465926294</v>
      </c>
    </row>
    <row r="94" spans="2:7" ht="32.25" customHeight="1" x14ac:dyDescent="0.2">
      <c r="B94" s="270">
        <v>310</v>
      </c>
      <c r="C94" s="269" t="s">
        <v>3846</v>
      </c>
      <c r="D94" s="271" t="s">
        <v>3868</v>
      </c>
      <c r="E94" s="275">
        <f>'оборудов доп. обр. (310)'!J26</f>
        <v>932.74571428571426</v>
      </c>
      <c r="F94" s="275">
        <f t="shared" si="1"/>
        <v>932.74571428571426</v>
      </c>
    </row>
    <row r="95" spans="2:7" ht="28.5" hidden="1" customHeight="1" x14ac:dyDescent="0.2">
      <c r="B95" s="270">
        <v>340</v>
      </c>
      <c r="C95" s="269" t="s">
        <v>3863</v>
      </c>
      <c r="D95" s="271" t="s">
        <v>3868</v>
      </c>
      <c r="E95" s="275"/>
      <c r="F95" s="275">
        <f t="shared" si="1"/>
        <v>0</v>
      </c>
    </row>
    <row r="96" spans="2:7" ht="28.5" hidden="1" customHeight="1" x14ac:dyDescent="0.2">
      <c r="B96" s="270">
        <v>340</v>
      </c>
      <c r="C96" s="269" t="s">
        <v>3864</v>
      </c>
      <c r="D96" s="271" t="s">
        <v>3868</v>
      </c>
      <c r="E96" s="275"/>
      <c r="F96" s="275">
        <f t="shared" si="1"/>
        <v>0</v>
      </c>
    </row>
    <row r="97" spans="2:6" ht="28.5" hidden="1" customHeight="1" x14ac:dyDescent="0.2">
      <c r="B97" s="270">
        <v>340</v>
      </c>
      <c r="C97" s="276" t="s">
        <v>4191</v>
      </c>
      <c r="D97" s="271" t="s">
        <v>3868</v>
      </c>
      <c r="E97" s="275"/>
      <c r="F97" s="275">
        <f t="shared" si="1"/>
        <v>0</v>
      </c>
    </row>
    <row r="98" spans="2:6" ht="28.5" hidden="1" customHeight="1" x14ac:dyDescent="0.2">
      <c r="B98" s="270">
        <v>340</v>
      </c>
      <c r="C98" s="276" t="s">
        <v>4192</v>
      </c>
      <c r="D98" s="271" t="s">
        <v>3868</v>
      </c>
      <c r="E98" s="275"/>
      <c r="F98" s="275">
        <f t="shared" si="1"/>
        <v>0</v>
      </c>
    </row>
    <row r="99" spans="2:6" ht="43.5" customHeight="1" x14ac:dyDescent="0.2">
      <c r="B99" s="270">
        <v>340</v>
      </c>
      <c r="C99" s="269" t="s">
        <v>4564</v>
      </c>
      <c r="D99" s="271" t="s">
        <v>25</v>
      </c>
      <c r="E99" s="275">
        <f>'хозы. (340)'!P27</f>
        <v>39316.050000000003</v>
      </c>
      <c r="F99" s="275">
        <f t="shared" si="1"/>
        <v>39316.050000000003</v>
      </c>
    </row>
    <row r="100" spans="2:6" ht="43.5" customHeight="1" x14ac:dyDescent="0.2">
      <c r="B100" s="270">
        <v>340</v>
      </c>
      <c r="C100" s="269" t="s">
        <v>4565</v>
      </c>
      <c r="D100" s="271" t="s">
        <v>25</v>
      </c>
      <c r="E100" s="275">
        <f>'хозы. (340)'!P30</f>
        <v>32418.190000000006</v>
      </c>
      <c r="F100" s="275">
        <f t="shared" si="1"/>
        <v>32418.190000000006</v>
      </c>
    </row>
    <row r="101" spans="2:6" ht="34.5" customHeight="1" x14ac:dyDescent="0.2">
      <c r="B101" s="270">
        <v>340</v>
      </c>
      <c r="C101" s="269" t="s">
        <v>4195</v>
      </c>
      <c r="D101" s="271" t="s">
        <v>3875</v>
      </c>
      <c r="E101" s="275">
        <f>'хозы. (340)'!P33</f>
        <v>16309.500000000004</v>
      </c>
      <c r="F101" s="275">
        <f t="shared" si="1"/>
        <v>16309.500000000004</v>
      </c>
    </row>
    <row r="102" spans="2:6" ht="31.5" customHeight="1" x14ac:dyDescent="0.2">
      <c r="B102" s="270">
        <v>340</v>
      </c>
      <c r="C102" s="269" t="s">
        <v>3862</v>
      </c>
      <c r="D102" s="271" t="s">
        <v>3874</v>
      </c>
      <c r="E102" s="275">
        <f>'хозы. (340)'!P36</f>
        <v>76433.88</v>
      </c>
      <c r="F102" s="275">
        <f t="shared" si="1"/>
        <v>76433.88</v>
      </c>
    </row>
    <row r="103" spans="2:6" ht="31.5" customHeight="1" x14ac:dyDescent="0.2">
      <c r="B103" s="270">
        <v>340</v>
      </c>
      <c r="C103" s="269" t="s">
        <v>3865</v>
      </c>
      <c r="D103" s="271" t="s">
        <v>3873</v>
      </c>
      <c r="E103" s="275">
        <f>'мягк.инвент (340)'!O31</f>
        <v>2830.875</v>
      </c>
      <c r="F103" s="275">
        <f t="shared" si="1"/>
        <v>2830.875</v>
      </c>
    </row>
    <row r="104" spans="2:6" ht="31.5" customHeight="1" x14ac:dyDescent="0.2">
      <c r="B104" s="270">
        <v>340</v>
      </c>
      <c r="C104" s="269" t="s">
        <v>3866</v>
      </c>
      <c r="D104" s="271" t="s">
        <v>3873</v>
      </c>
      <c r="E104" s="275">
        <f>'мягк.инвент (340)'!N31</f>
        <v>2293.3900000000003</v>
      </c>
      <c r="F104" s="275">
        <f t="shared" si="1"/>
        <v>2293.3900000000003</v>
      </c>
    </row>
    <row r="105" spans="2:6" ht="22.5" customHeight="1" x14ac:dyDescent="0.2">
      <c r="B105" s="270">
        <v>340</v>
      </c>
      <c r="C105" s="269" t="s">
        <v>3842</v>
      </c>
      <c r="D105" s="271" t="s">
        <v>3874</v>
      </c>
      <c r="E105" s="275">
        <f>'канц.товар (340)'!H18</f>
        <v>102544</v>
      </c>
      <c r="F105" s="275">
        <f t="shared" si="1"/>
        <v>102544</v>
      </c>
    </row>
    <row r="106" spans="2:6" ht="19.5" customHeight="1" x14ac:dyDescent="0.2">
      <c r="B106" s="270">
        <v>340</v>
      </c>
      <c r="C106" s="269" t="s">
        <v>4401</v>
      </c>
      <c r="D106" s="271" t="s">
        <v>3874</v>
      </c>
      <c r="E106" s="275">
        <f>'строит. мат. (340)'!H40</f>
        <v>111215.56</v>
      </c>
      <c r="F106" s="275">
        <f>E106</f>
        <v>111215.56</v>
      </c>
    </row>
    <row r="107" spans="2:6" ht="30.75" customHeight="1" x14ac:dyDescent="0.2">
      <c r="B107" s="270">
        <v>340</v>
      </c>
      <c r="C107" s="269" t="s">
        <v>3843</v>
      </c>
      <c r="D107" s="271" t="s">
        <v>3874</v>
      </c>
      <c r="E107" s="275">
        <f>'медикамент (340)'!J38</f>
        <v>2484.91</v>
      </c>
      <c r="F107" s="275">
        <f t="shared" si="1"/>
        <v>2484.91</v>
      </c>
    </row>
    <row r="108" spans="2:6" ht="27.75" customHeight="1" x14ac:dyDescent="0.2">
      <c r="B108" s="270">
        <v>340</v>
      </c>
      <c r="C108" s="269" t="s">
        <v>3845</v>
      </c>
      <c r="D108" s="271" t="s">
        <v>3868</v>
      </c>
      <c r="E108" s="275">
        <f>'посуда сад-шк (340)'!I20</f>
        <v>266.16000000000003</v>
      </c>
      <c r="F108" s="275">
        <f t="shared" si="1"/>
        <v>266.16000000000003</v>
      </c>
    </row>
  </sheetData>
  <autoFilter ref="B6:E108"/>
  <sortState ref="B5:J12">
    <sortCondition ref="B5"/>
  </sortState>
  <mergeCells count="2">
    <mergeCell ref="C4:E4"/>
    <mergeCell ref="D2:F2"/>
  </mergeCells>
  <pageMargins left="0.70866141732283472" right="0.11811023622047245" top="0.74803149606299213" bottom="0.74803149606299213" header="0.31496062992125984" footer="0.31496062992125984"/>
  <pageSetup paperSize="9" scale="5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33"/>
  <sheetViews>
    <sheetView workbookViewId="0">
      <selection activeCell="E1" sqref="E1:G1"/>
    </sheetView>
  </sheetViews>
  <sheetFormatPr defaultRowHeight="12.75" x14ac:dyDescent="0.2"/>
  <cols>
    <col min="1" max="1" width="3.7109375" customWidth="1"/>
    <col min="2" max="2" width="39.5703125" customWidth="1"/>
    <col min="3" max="3" width="17.7109375" customWidth="1"/>
    <col min="4" max="5" width="15.42578125" customWidth="1"/>
    <col min="6" max="6" width="12" customWidth="1"/>
    <col min="7" max="7" width="22" customWidth="1"/>
    <col min="9" max="9" width="12.42578125" customWidth="1"/>
  </cols>
  <sheetData>
    <row r="1" spans="1:7" s="24" customFormat="1" ht="15" x14ac:dyDescent="0.2">
      <c r="E1" s="801" t="s">
        <v>4676</v>
      </c>
      <c r="F1" s="801"/>
      <c r="G1" s="801"/>
    </row>
    <row r="2" spans="1:7" s="24" customFormat="1" ht="15" x14ac:dyDescent="0.2">
      <c r="E2" s="786" t="s">
        <v>4586</v>
      </c>
      <c r="F2" s="786"/>
      <c r="G2" s="786"/>
    </row>
    <row r="3" spans="1:7" s="24" customFormat="1" ht="15" x14ac:dyDescent="0.2"/>
    <row r="4" spans="1:7" s="24" customFormat="1" ht="15" x14ac:dyDescent="0.2"/>
    <row r="5" spans="1:7" s="24" customFormat="1" ht="15" x14ac:dyDescent="0.2"/>
    <row r="6" spans="1:7" ht="15.75" x14ac:dyDescent="0.25">
      <c r="A6" s="10"/>
      <c r="B6" s="10"/>
    </row>
    <row r="7" spans="1:7" ht="48" customHeight="1" x14ac:dyDescent="0.2">
      <c r="A7" s="823" t="str">
        <f>'Прилож. нормативы'!C16</f>
        <v>Норматив стоимости услуг связи в в общеобразовательных учреждениях в зданиях, используемых для реализации программ дошкольного образования.</v>
      </c>
      <c r="B7" s="823"/>
      <c r="C7" s="823"/>
      <c r="D7" s="823"/>
      <c r="E7" s="823"/>
      <c r="F7" s="823"/>
      <c r="G7" s="823"/>
    </row>
    <row r="8" spans="1:7" x14ac:dyDescent="0.2">
      <c r="A8" s="12"/>
      <c r="B8" s="12"/>
    </row>
    <row r="9" spans="1:7" s="53" customFormat="1" ht="31.15" customHeight="1" x14ac:dyDescent="0.2">
      <c r="A9" s="202" t="s">
        <v>4105</v>
      </c>
      <c r="B9" s="202" t="s">
        <v>4017</v>
      </c>
      <c r="C9" s="203" t="s">
        <v>4009</v>
      </c>
      <c r="D9" s="291" t="s">
        <v>4369</v>
      </c>
      <c r="E9" s="291" t="s">
        <v>4580</v>
      </c>
      <c r="F9" s="291" t="s">
        <v>4360</v>
      </c>
      <c r="G9" s="204" t="s">
        <v>4131</v>
      </c>
    </row>
    <row r="10" spans="1:7" s="56" customFormat="1" ht="11.25" x14ac:dyDescent="0.2">
      <c r="A10" s="54">
        <v>1</v>
      </c>
      <c r="B10" s="55">
        <v>2</v>
      </c>
      <c r="C10" s="54">
        <v>3</v>
      </c>
      <c r="D10" s="55">
        <v>4</v>
      </c>
      <c r="E10" s="54">
        <v>5</v>
      </c>
      <c r="F10" s="55">
        <v>6</v>
      </c>
      <c r="G10" s="54">
        <v>7</v>
      </c>
    </row>
    <row r="11" spans="1:7" s="285" customFormat="1" ht="24.6" customHeight="1" x14ac:dyDescent="0.2">
      <c r="A11" s="60">
        <v>1</v>
      </c>
      <c r="B11" s="58" t="s">
        <v>4132</v>
      </c>
      <c r="C11" s="60">
        <v>1</v>
      </c>
      <c r="D11" s="362">
        <v>3816</v>
      </c>
      <c r="E11" s="240">
        <v>1</v>
      </c>
      <c r="F11" s="240">
        <f t="shared" ref="F11:F18" si="0">D11*E11</f>
        <v>3816</v>
      </c>
      <c r="G11" s="240">
        <f>C11*F11</f>
        <v>3816</v>
      </c>
    </row>
    <row r="12" spans="1:7" s="285" customFormat="1" ht="54.75" customHeight="1" x14ac:dyDescent="0.2">
      <c r="A12" s="60">
        <v>2</v>
      </c>
      <c r="B12" s="58" t="s">
        <v>4019</v>
      </c>
      <c r="C12" s="60">
        <v>1</v>
      </c>
      <c r="D12" s="362">
        <f>210*12</f>
        <v>2520</v>
      </c>
      <c r="E12" s="240">
        <v>1</v>
      </c>
      <c r="F12" s="240">
        <f t="shared" si="0"/>
        <v>2520</v>
      </c>
      <c r="G12" s="240">
        <f t="shared" ref="G12:G18" si="1">C12*F12</f>
        <v>2520</v>
      </c>
    </row>
    <row r="13" spans="1:7" s="285" customFormat="1" ht="27" customHeight="1" x14ac:dyDescent="0.2">
      <c r="A13" s="60">
        <v>3</v>
      </c>
      <c r="B13" s="58" t="s">
        <v>4020</v>
      </c>
      <c r="C13" s="60">
        <v>2</v>
      </c>
      <c r="D13" s="362">
        <v>9475.2000000000007</v>
      </c>
      <c r="E13" s="240">
        <v>1</v>
      </c>
      <c r="F13" s="240">
        <f t="shared" si="0"/>
        <v>9475.2000000000007</v>
      </c>
      <c r="G13" s="240">
        <f t="shared" si="1"/>
        <v>18950.400000000001</v>
      </c>
    </row>
    <row r="14" spans="1:7" s="285" customFormat="1" ht="28.5" hidden="1" customHeight="1" x14ac:dyDescent="0.2">
      <c r="A14" s="60">
        <v>4</v>
      </c>
      <c r="B14" s="58" t="s">
        <v>4021</v>
      </c>
      <c r="C14" s="60">
        <v>1</v>
      </c>
      <c r="D14" s="362"/>
      <c r="E14" s="240">
        <v>1</v>
      </c>
      <c r="F14" s="240">
        <f t="shared" si="0"/>
        <v>0</v>
      </c>
      <c r="G14" s="240">
        <f t="shared" si="1"/>
        <v>0</v>
      </c>
    </row>
    <row r="15" spans="1:7" s="285" customFormat="1" ht="24.6" customHeight="1" x14ac:dyDescent="0.2">
      <c r="A15" s="60">
        <v>4</v>
      </c>
      <c r="B15" s="58" t="s">
        <v>4022</v>
      </c>
      <c r="C15" s="60">
        <v>2</v>
      </c>
      <c r="D15" s="362">
        <v>554.4</v>
      </c>
      <c r="E15" s="240">
        <v>1</v>
      </c>
      <c r="F15" s="240">
        <f t="shared" si="0"/>
        <v>554.4</v>
      </c>
      <c r="G15" s="240">
        <f t="shared" si="1"/>
        <v>1108.8</v>
      </c>
    </row>
    <row r="16" spans="1:7" s="285" customFormat="1" ht="27.75" hidden="1" customHeight="1" x14ac:dyDescent="0.2">
      <c r="A16" s="60">
        <v>6</v>
      </c>
      <c r="B16" s="58" t="s">
        <v>4023</v>
      </c>
      <c r="C16" s="60">
        <v>1</v>
      </c>
      <c r="D16" s="362"/>
      <c r="E16" s="240">
        <v>1</v>
      </c>
      <c r="F16" s="240">
        <f t="shared" si="0"/>
        <v>0</v>
      </c>
      <c r="G16" s="240">
        <f t="shared" si="1"/>
        <v>0</v>
      </c>
    </row>
    <row r="17" spans="1:7" s="285" customFormat="1" ht="26.25" hidden="1" customHeight="1" x14ac:dyDescent="0.2">
      <c r="A17" s="60">
        <v>7</v>
      </c>
      <c r="B17" s="58" t="s">
        <v>4024</v>
      </c>
      <c r="C17" s="60">
        <v>1</v>
      </c>
      <c r="D17" s="362"/>
      <c r="E17" s="240">
        <v>1</v>
      </c>
      <c r="F17" s="240">
        <f t="shared" si="0"/>
        <v>0</v>
      </c>
      <c r="G17" s="240">
        <f t="shared" si="1"/>
        <v>0</v>
      </c>
    </row>
    <row r="18" spans="1:7" s="285" customFormat="1" ht="26.25" hidden="1" customHeight="1" x14ac:dyDescent="0.2">
      <c r="A18" s="60">
        <v>8</v>
      </c>
      <c r="B18" s="58" t="s">
        <v>4025</v>
      </c>
      <c r="C18" s="60">
        <v>1</v>
      </c>
      <c r="D18" s="362"/>
      <c r="E18" s="240">
        <v>1</v>
      </c>
      <c r="F18" s="240">
        <f t="shared" si="0"/>
        <v>0</v>
      </c>
      <c r="G18" s="240">
        <f t="shared" si="1"/>
        <v>0</v>
      </c>
    </row>
    <row r="19" spans="1:7" s="59" customFormat="1" ht="26.25" customHeight="1" x14ac:dyDescent="0.2">
      <c r="A19" s="824" t="s">
        <v>4026</v>
      </c>
      <c r="B19" s="825"/>
      <c r="C19" s="825"/>
      <c r="D19" s="825"/>
      <c r="E19" s="825"/>
      <c r="F19" s="826"/>
      <c r="G19" s="205">
        <f>SUM(G11:G18)</f>
        <v>26395.200000000001</v>
      </c>
    </row>
    <row r="20" spans="1:7" s="59" customFormat="1" ht="62.25" customHeight="1" x14ac:dyDescent="0.2">
      <c r="A20" s="57">
        <v>1</v>
      </c>
      <c r="B20" s="58" t="s">
        <v>4027</v>
      </c>
      <c r="C20" s="60">
        <v>1</v>
      </c>
      <c r="D20" s="610">
        <f>2301272/33</f>
        <v>69735.515151515152</v>
      </c>
      <c r="E20" s="240">
        <v>1</v>
      </c>
      <c r="F20" s="240">
        <f>D20*E20</f>
        <v>69735.515151515152</v>
      </c>
      <c r="G20" s="205">
        <f>F20*C20</f>
        <v>69735.515151515152</v>
      </c>
    </row>
    <row r="21" spans="1:7" ht="27.75" customHeight="1" x14ac:dyDescent="0.2">
      <c r="A21" s="827" t="s">
        <v>4028</v>
      </c>
      <c r="B21" s="828"/>
      <c r="C21" s="828"/>
      <c r="D21" s="828"/>
      <c r="E21" s="828"/>
      <c r="F21" s="829"/>
      <c r="G21" s="205">
        <f>SUM(G20)</f>
        <v>69735.515151515152</v>
      </c>
    </row>
    <row r="22" spans="1:7" ht="38.25" x14ac:dyDescent="0.2">
      <c r="A22" s="57">
        <v>1</v>
      </c>
      <c r="B22" s="442" t="s">
        <v>4674</v>
      </c>
      <c r="C22" s="60">
        <v>1</v>
      </c>
      <c r="D22" s="205">
        <v>5000</v>
      </c>
      <c r="E22" s="205">
        <v>1</v>
      </c>
      <c r="F22" s="205">
        <f>D22*E22</f>
        <v>5000</v>
      </c>
      <c r="G22" s="205">
        <f>C22*F22*12</f>
        <v>60000</v>
      </c>
    </row>
    <row r="23" spans="1:7" ht="15" hidden="1" x14ac:dyDescent="0.2">
      <c r="B23" s="791" t="s">
        <v>3847</v>
      </c>
      <c r="C23" s="791"/>
      <c r="D23" s="791"/>
      <c r="E23" s="791"/>
      <c r="F23" s="791"/>
    </row>
    <row r="24" spans="1:7" s="23" customFormat="1" ht="17.25" customHeight="1" x14ac:dyDescent="0.2">
      <c r="A24" s="827" t="s">
        <v>4675</v>
      </c>
      <c r="B24" s="828"/>
      <c r="C24" s="828"/>
      <c r="D24" s="828"/>
      <c r="E24" s="828"/>
      <c r="F24" s="829"/>
      <c r="G24" s="205">
        <f>G22</f>
        <v>60000</v>
      </c>
    </row>
    <row r="25" spans="1:7" s="23" customFormat="1" ht="18" customHeight="1" x14ac:dyDescent="0.2">
      <c r="A25" s="42"/>
      <c r="B25" s="25"/>
      <c r="D25" s="544"/>
    </row>
    <row r="26" spans="1:7" s="23" customFormat="1" ht="15" x14ac:dyDescent="0.2">
      <c r="A26" s="42"/>
      <c r="B26" s="191"/>
      <c r="D26" s="543"/>
    </row>
    <row r="27" spans="1:7" s="23" customFormat="1" ht="15" x14ac:dyDescent="0.2">
      <c r="A27" s="42"/>
      <c r="B27" s="191"/>
      <c r="D27" s="543"/>
    </row>
    <row r="28" spans="1:7" s="23" customFormat="1" ht="15" x14ac:dyDescent="0.2">
      <c r="A28" s="191"/>
    </row>
    <row r="29" spans="1:7" s="23" customFormat="1" ht="15" x14ac:dyDescent="0.2">
      <c r="A29" s="792"/>
      <c r="B29" s="793"/>
    </row>
    <row r="30" spans="1:7" s="23" customFormat="1" ht="15" customHeight="1" x14ac:dyDescent="0.2">
      <c r="A30" s="788"/>
      <c r="B30" s="788"/>
    </row>
    <row r="31" spans="1:7" s="23" customFormat="1" ht="15" x14ac:dyDescent="0.2">
      <c r="A31" s="788"/>
      <c r="B31" s="788"/>
    </row>
    <row r="32" spans="1:7" s="23" customFormat="1" ht="15" x14ac:dyDescent="0.2">
      <c r="A32" s="788"/>
      <c r="B32" s="788"/>
    </row>
    <row r="33" spans="1:2" s="23" customFormat="1" ht="15" x14ac:dyDescent="0.2">
      <c r="A33" s="191"/>
      <c r="B33" s="191"/>
    </row>
  </sheetData>
  <mergeCells count="11">
    <mergeCell ref="E1:G1"/>
    <mergeCell ref="E2:G2"/>
    <mergeCell ref="A7:G7"/>
    <mergeCell ref="A31:B31"/>
    <mergeCell ref="A32:B32"/>
    <mergeCell ref="A19:F19"/>
    <mergeCell ref="A21:F21"/>
    <mergeCell ref="B23:F23"/>
    <mergeCell ref="A29:B29"/>
    <mergeCell ref="A30:B30"/>
    <mergeCell ref="A24:F2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33"/>
  <sheetViews>
    <sheetView workbookViewId="0">
      <selection activeCell="E1" sqref="E1:G1"/>
    </sheetView>
  </sheetViews>
  <sheetFormatPr defaultRowHeight="12.75" x14ac:dyDescent="0.2"/>
  <cols>
    <col min="1" max="1" width="3.7109375" customWidth="1"/>
    <col min="2" max="2" width="39.5703125" customWidth="1"/>
    <col min="3" max="3" width="17.7109375" customWidth="1"/>
    <col min="4" max="4" width="14.42578125" customWidth="1"/>
    <col min="5" max="5" width="10.85546875" customWidth="1"/>
    <col min="6" max="6" width="12" customWidth="1"/>
    <col min="7" max="7" width="22" customWidth="1"/>
    <col min="9" max="9" width="11.7109375" customWidth="1"/>
  </cols>
  <sheetData>
    <row r="1" spans="1:7" s="24" customFormat="1" ht="15" x14ac:dyDescent="0.2">
      <c r="E1" s="801" t="s">
        <v>4677</v>
      </c>
      <c r="F1" s="801"/>
      <c r="G1" s="801"/>
    </row>
    <row r="2" spans="1:7" s="24" customFormat="1" ht="15" x14ac:dyDescent="0.2">
      <c r="E2" s="786" t="s">
        <v>4586</v>
      </c>
      <c r="F2" s="786"/>
      <c r="G2" s="786"/>
    </row>
    <row r="3" spans="1:7" s="24" customFormat="1" ht="15" x14ac:dyDescent="0.2"/>
    <row r="4" spans="1:7" s="24" customFormat="1" ht="15" x14ac:dyDescent="0.2"/>
    <row r="5" spans="1:7" s="24" customFormat="1" ht="15" x14ac:dyDescent="0.2"/>
    <row r="6" spans="1:7" ht="15.75" x14ac:dyDescent="0.25">
      <c r="A6" s="10"/>
      <c r="B6" s="10"/>
    </row>
    <row r="7" spans="1:7" ht="36.75" customHeight="1" x14ac:dyDescent="0.2">
      <c r="A7" s="823" t="str">
        <f>'Прилож. нормативы'!C17</f>
        <v>Норматив стоимости услуг связи в общеобразовательных учреждениях без учета зданий, используемых для реализации программ дошкольного образования.</v>
      </c>
      <c r="B7" s="823"/>
      <c r="C7" s="823"/>
      <c r="D7" s="823"/>
      <c r="E7" s="823"/>
      <c r="F7" s="823"/>
      <c r="G7" s="823"/>
    </row>
    <row r="8" spans="1:7" x14ac:dyDescent="0.2">
      <c r="A8" s="12"/>
      <c r="B8" s="12"/>
    </row>
    <row r="9" spans="1:7" s="53" customFormat="1" ht="31.15" customHeight="1" x14ac:dyDescent="0.2">
      <c r="A9" s="202" t="s">
        <v>4105</v>
      </c>
      <c r="B9" s="202" t="s">
        <v>4017</v>
      </c>
      <c r="C9" s="203" t="s">
        <v>4009</v>
      </c>
      <c r="D9" s="291" t="s">
        <v>4369</v>
      </c>
      <c r="E9" s="291" t="s">
        <v>4580</v>
      </c>
      <c r="F9" s="291" t="s">
        <v>4360</v>
      </c>
      <c r="G9" s="204" t="s">
        <v>4131</v>
      </c>
    </row>
    <row r="10" spans="1:7" s="56" customFormat="1" ht="11.25" x14ac:dyDescent="0.2">
      <c r="A10" s="54">
        <v>1</v>
      </c>
      <c r="B10" s="55">
        <v>2</v>
      </c>
      <c r="C10" s="54">
        <v>3</v>
      </c>
      <c r="D10" s="55">
        <v>4</v>
      </c>
      <c r="E10" s="54">
        <v>5</v>
      </c>
      <c r="F10" s="55">
        <v>6</v>
      </c>
      <c r="G10" s="54">
        <v>7</v>
      </c>
    </row>
    <row r="11" spans="1:7" s="285" customFormat="1" ht="24.6" customHeight="1" x14ac:dyDescent="0.2">
      <c r="A11" s="60">
        <v>1</v>
      </c>
      <c r="B11" s="58" t="s">
        <v>4018</v>
      </c>
      <c r="C11" s="60">
        <v>1</v>
      </c>
      <c r="D11" s="362">
        <v>3816</v>
      </c>
      <c r="E11" s="240">
        <v>1</v>
      </c>
      <c r="F11" s="240">
        <f t="shared" ref="F11:F18" si="0">D11*E11</f>
        <v>3816</v>
      </c>
      <c r="G11" s="240">
        <f>C11*F11</f>
        <v>3816</v>
      </c>
    </row>
    <row r="12" spans="1:7" s="285" customFormat="1" ht="54.75" customHeight="1" x14ac:dyDescent="0.2">
      <c r="A12" s="60">
        <v>2</v>
      </c>
      <c r="B12" s="58" t="s">
        <v>4019</v>
      </c>
      <c r="C12" s="60">
        <v>1</v>
      </c>
      <c r="D12" s="362">
        <f>210*12</f>
        <v>2520</v>
      </c>
      <c r="E12" s="240">
        <v>1</v>
      </c>
      <c r="F12" s="240">
        <f t="shared" si="0"/>
        <v>2520</v>
      </c>
      <c r="G12" s="240">
        <f t="shared" ref="G12:G18" si="1">C12*F12</f>
        <v>2520</v>
      </c>
    </row>
    <row r="13" spans="1:7" s="285" customFormat="1" ht="27" customHeight="1" x14ac:dyDescent="0.2">
      <c r="A13" s="60">
        <v>3</v>
      </c>
      <c r="B13" s="58" t="s">
        <v>4020</v>
      </c>
      <c r="C13" s="60">
        <v>2</v>
      </c>
      <c r="D13" s="362">
        <v>9475.2000000000007</v>
      </c>
      <c r="E13" s="240">
        <v>1</v>
      </c>
      <c r="F13" s="240">
        <f t="shared" si="0"/>
        <v>9475.2000000000007</v>
      </c>
      <c r="G13" s="240">
        <f t="shared" si="1"/>
        <v>18950.400000000001</v>
      </c>
    </row>
    <row r="14" spans="1:7" s="285" customFormat="1" ht="28.5" hidden="1" customHeight="1" x14ac:dyDescent="0.2">
      <c r="A14" s="60">
        <v>4</v>
      </c>
      <c r="B14" s="58" t="s">
        <v>4021</v>
      </c>
      <c r="C14" s="60">
        <v>1</v>
      </c>
      <c r="D14" s="362"/>
      <c r="E14" s="240">
        <v>1</v>
      </c>
      <c r="F14" s="240">
        <f t="shared" si="0"/>
        <v>0</v>
      </c>
      <c r="G14" s="240">
        <f t="shared" si="1"/>
        <v>0</v>
      </c>
    </row>
    <row r="15" spans="1:7" s="285" customFormat="1" ht="24.6" customHeight="1" x14ac:dyDescent="0.2">
      <c r="A15" s="60">
        <v>4</v>
      </c>
      <c r="B15" s="58" t="s">
        <v>4022</v>
      </c>
      <c r="C15" s="60">
        <v>2</v>
      </c>
      <c r="D15" s="362">
        <v>554.4</v>
      </c>
      <c r="E15" s="240">
        <v>1</v>
      </c>
      <c r="F15" s="240">
        <f t="shared" si="0"/>
        <v>554.4</v>
      </c>
      <c r="G15" s="240">
        <f t="shared" si="1"/>
        <v>1108.8</v>
      </c>
    </row>
    <row r="16" spans="1:7" s="285" customFormat="1" ht="27.75" hidden="1" customHeight="1" x14ac:dyDescent="0.2">
      <c r="A16" s="60">
        <v>6</v>
      </c>
      <c r="B16" s="58" t="s">
        <v>4023</v>
      </c>
      <c r="C16" s="60">
        <v>1</v>
      </c>
      <c r="D16" s="362"/>
      <c r="E16" s="240">
        <v>1</v>
      </c>
      <c r="F16" s="240">
        <f t="shared" si="0"/>
        <v>0</v>
      </c>
      <c r="G16" s="240">
        <f t="shared" si="1"/>
        <v>0</v>
      </c>
    </row>
    <row r="17" spans="1:7" s="285" customFormat="1" ht="26.25" hidden="1" customHeight="1" x14ac:dyDescent="0.2">
      <c r="A17" s="60">
        <v>7</v>
      </c>
      <c r="B17" s="58" t="s">
        <v>4024</v>
      </c>
      <c r="C17" s="60">
        <v>1</v>
      </c>
      <c r="D17" s="362"/>
      <c r="E17" s="240">
        <v>1</v>
      </c>
      <c r="F17" s="240">
        <f t="shared" si="0"/>
        <v>0</v>
      </c>
      <c r="G17" s="240">
        <f t="shared" si="1"/>
        <v>0</v>
      </c>
    </row>
    <row r="18" spans="1:7" s="285" customFormat="1" ht="26.25" hidden="1" customHeight="1" x14ac:dyDescent="0.2">
      <c r="A18" s="60">
        <v>8</v>
      </c>
      <c r="B18" s="58" t="s">
        <v>4025</v>
      </c>
      <c r="C18" s="60">
        <v>1</v>
      </c>
      <c r="D18" s="362"/>
      <c r="E18" s="240">
        <v>1</v>
      </c>
      <c r="F18" s="240">
        <f t="shared" si="0"/>
        <v>0</v>
      </c>
      <c r="G18" s="240">
        <f t="shared" si="1"/>
        <v>0</v>
      </c>
    </row>
    <row r="19" spans="1:7" s="59" customFormat="1" ht="26.25" customHeight="1" x14ac:dyDescent="0.2">
      <c r="A19" s="824" t="s">
        <v>4026</v>
      </c>
      <c r="B19" s="825"/>
      <c r="C19" s="825"/>
      <c r="D19" s="825"/>
      <c r="E19" s="825"/>
      <c r="F19" s="826"/>
      <c r="G19" s="205">
        <f>SUM(G11:G18)</f>
        <v>26395.200000000001</v>
      </c>
    </row>
    <row r="20" spans="1:7" s="59" customFormat="1" ht="62.25" customHeight="1" x14ac:dyDescent="0.2">
      <c r="A20" s="57">
        <v>1</v>
      </c>
      <c r="B20" s="58" t="s">
        <v>4029</v>
      </c>
      <c r="C20" s="60">
        <v>1</v>
      </c>
      <c r="D20" s="611">
        <f>1609972/21</f>
        <v>76665.333333333328</v>
      </c>
      <c r="E20" s="240">
        <v>1</v>
      </c>
      <c r="F20" s="240">
        <f>D20*E20</f>
        <v>76665.333333333328</v>
      </c>
      <c r="G20" s="205">
        <f>C20*F20</f>
        <v>76665.333333333328</v>
      </c>
    </row>
    <row r="21" spans="1:7" x14ac:dyDescent="0.2">
      <c r="A21" s="830" t="s">
        <v>4028</v>
      </c>
      <c r="B21" s="828"/>
      <c r="C21" s="828"/>
      <c r="D21" s="828"/>
      <c r="E21" s="828"/>
      <c r="F21" s="829"/>
      <c r="G21" s="205">
        <f>SUM(G20)</f>
        <v>76665.333333333328</v>
      </c>
    </row>
    <row r="22" spans="1:7" ht="38.25" x14ac:dyDescent="0.2">
      <c r="A22" s="57">
        <v>1</v>
      </c>
      <c r="B22" s="442" t="s">
        <v>4674</v>
      </c>
      <c r="C22" s="60">
        <v>1</v>
      </c>
      <c r="D22" s="205">
        <v>5000</v>
      </c>
      <c r="E22" s="205">
        <v>1</v>
      </c>
      <c r="F22" s="205">
        <f>D22*E22</f>
        <v>5000</v>
      </c>
      <c r="G22" s="205">
        <f>C22*F22*12</f>
        <v>60000</v>
      </c>
    </row>
    <row r="23" spans="1:7" ht="15" hidden="1" customHeight="1" x14ac:dyDescent="0.2">
      <c r="B23" s="791" t="s">
        <v>3847</v>
      </c>
      <c r="C23" s="791"/>
      <c r="D23" s="791"/>
      <c r="E23" s="791"/>
      <c r="F23" s="791"/>
    </row>
    <row r="24" spans="1:7" s="23" customFormat="1" ht="17.25" customHeight="1" x14ac:dyDescent="0.2">
      <c r="A24" s="827" t="s">
        <v>4675</v>
      </c>
      <c r="B24" s="828"/>
      <c r="C24" s="828"/>
      <c r="D24" s="828"/>
      <c r="E24" s="828"/>
      <c r="F24" s="829"/>
      <c r="G24" s="205">
        <f>G22</f>
        <v>60000</v>
      </c>
    </row>
    <row r="25" spans="1:7" s="23" customFormat="1" ht="18" customHeight="1" x14ac:dyDescent="0.2">
      <c r="A25" s="42"/>
      <c r="B25" s="25"/>
    </row>
    <row r="26" spans="1:7" s="23" customFormat="1" ht="15" x14ac:dyDescent="0.2">
      <c r="A26" s="42"/>
      <c r="B26" s="191"/>
    </row>
    <row r="27" spans="1:7" s="23" customFormat="1" ht="15" x14ac:dyDescent="0.2">
      <c r="A27" s="42"/>
      <c r="B27" s="191"/>
    </row>
    <row r="28" spans="1:7" s="23" customFormat="1" ht="15" x14ac:dyDescent="0.2">
      <c r="A28" s="191"/>
    </row>
    <row r="29" spans="1:7" s="23" customFormat="1" ht="15" x14ac:dyDescent="0.2">
      <c r="A29" s="792"/>
      <c r="B29" s="793"/>
    </row>
    <row r="30" spans="1:7" s="23" customFormat="1" ht="15" customHeight="1" x14ac:dyDescent="0.2">
      <c r="A30" s="788"/>
      <c r="B30" s="788"/>
    </row>
    <row r="31" spans="1:7" s="23" customFormat="1" ht="15" x14ac:dyDescent="0.2">
      <c r="A31" s="788"/>
      <c r="B31" s="788"/>
    </row>
    <row r="32" spans="1:7" s="23" customFormat="1" ht="15" x14ac:dyDescent="0.2">
      <c r="A32" s="788"/>
      <c r="B32" s="788"/>
    </row>
    <row r="33" spans="1:2" s="23" customFormat="1" ht="15" x14ac:dyDescent="0.2">
      <c r="A33" s="191"/>
      <c r="B33" s="191"/>
    </row>
  </sheetData>
  <mergeCells count="11">
    <mergeCell ref="A7:G7"/>
    <mergeCell ref="E1:G1"/>
    <mergeCell ref="E2:G2"/>
    <mergeCell ref="A31:B31"/>
    <mergeCell ref="A32:B32"/>
    <mergeCell ref="A19:F19"/>
    <mergeCell ref="A21:F21"/>
    <mergeCell ref="B23:F23"/>
    <mergeCell ref="A29:B29"/>
    <mergeCell ref="A30:B30"/>
    <mergeCell ref="A24:F2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33"/>
  <sheetViews>
    <sheetView workbookViewId="0">
      <selection activeCell="E1" sqref="E1:G1"/>
    </sheetView>
  </sheetViews>
  <sheetFormatPr defaultRowHeight="12.75" x14ac:dyDescent="0.2"/>
  <cols>
    <col min="1" max="1" width="3.7109375" customWidth="1"/>
    <col min="2" max="2" width="39.5703125" customWidth="1"/>
    <col min="3" max="3" width="17.7109375" customWidth="1"/>
    <col min="4" max="4" width="12.7109375" customWidth="1"/>
    <col min="5" max="5" width="9.85546875" customWidth="1"/>
    <col min="6" max="6" width="12" customWidth="1"/>
    <col min="7" max="7" width="22" customWidth="1"/>
    <col min="9" max="9" width="12.5703125" customWidth="1"/>
  </cols>
  <sheetData>
    <row r="1" spans="1:7" s="24" customFormat="1" ht="15" x14ac:dyDescent="0.2">
      <c r="E1" s="801" t="s">
        <v>4678</v>
      </c>
      <c r="F1" s="801"/>
      <c r="G1" s="801"/>
    </row>
    <row r="2" spans="1:7" s="24" customFormat="1" ht="15" x14ac:dyDescent="0.2">
      <c r="E2" s="786" t="s">
        <v>4586</v>
      </c>
      <c r="F2" s="786"/>
      <c r="G2" s="786"/>
    </row>
    <row r="3" spans="1:7" s="24" customFormat="1" ht="15" x14ac:dyDescent="0.2"/>
    <row r="4" spans="1:7" s="24" customFormat="1" ht="15" x14ac:dyDescent="0.2"/>
    <row r="5" spans="1:7" s="24" customFormat="1" ht="15" x14ac:dyDescent="0.2"/>
    <row r="6" spans="1:7" ht="15.75" x14ac:dyDescent="0.25">
      <c r="A6" s="10"/>
      <c r="B6" s="10"/>
    </row>
    <row r="7" spans="1:7" ht="48" customHeight="1" x14ac:dyDescent="0.2">
      <c r="A7" s="11"/>
      <c r="B7" s="823" t="s">
        <v>4030</v>
      </c>
      <c r="C7" s="823"/>
      <c r="D7" s="823"/>
      <c r="E7" s="823"/>
      <c r="F7" s="823"/>
      <c r="G7" s="823"/>
    </row>
    <row r="8" spans="1:7" x14ac:dyDescent="0.2">
      <c r="A8" s="12"/>
      <c r="B8" s="12"/>
    </row>
    <row r="9" spans="1:7" s="53" customFormat="1" ht="31.15" customHeight="1" x14ac:dyDescent="0.2">
      <c r="A9" s="202" t="s">
        <v>122</v>
      </c>
      <c r="B9" s="202" t="s">
        <v>4017</v>
      </c>
      <c r="C9" s="203" t="s">
        <v>4009</v>
      </c>
      <c r="D9" s="291" t="s">
        <v>4369</v>
      </c>
      <c r="E9" s="291" t="s">
        <v>4580</v>
      </c>
      <c r="F9" s="291" t="s">
        <v>4360</v>
      </c>
      <c r="G9" s="204" t="s">
        <v>4131</v>
      </c>
    </row>
    <row r="10" spans="1:7" s="56" customFormat="1" ht="11.25" x14ac:dyDescent="0.2">
      <c r="A10" s="54">
        <v>1</v>
      </c>
      <c r="B10" s="55">
        <v>2</v>
      </c>
      <c r="C10" s="54">
        <v>3</v>
      </c>
      <c r="D10" s="55">
        <v>4</v>
      </c>
      <c r="E10" s="54">
        <v>5</v>
      </c>
      <c r="F10" s="55">
        <v>6</v>
      </c>
      <c r="G10" s="54">
        <v>7</v>
      </c>
    </row>
    <row r="11" spans="1:7" s="59" customFormat="1" ht="24.6" customHeight="1" x14ac:dyDescent="0.2">
      <c r="A11" s="57">
        <v>1</v>
      </c>
      <c r="B11" s="58" t="s">
        <v>4018</v>
      </c>
      <c r="C11" s="60">
        <v>1</v>
      </c>
      <c r="D11" s="362">
        <f>265*12</f>
        <v>3180</v>
      </c>
      <c r="E11" s="205">
        <v>1</v>
      </c>
      <c r="F11" s="205">
        <f t="shared" ref="F11:F18" si="0">D11*E11</f>
        <v>3180</v>
      </c>
      <c r="G11" s="205">
        <f>C11*F11</f>
        <v>3180</v>
      </c>
    </row>
    <row r="12" spans="1:7" s="59" customFormat="1" ht="54.75" customHeight="1" x14ac:dyDescent="0.2">
      <c r="A12" s="57">
        <v>2</v>
      </c>
      <c r="B12" s="58" t="s">
        <v>4019</v>
      </c>
      <c r="C12" s="60">
        <v>1</v>
      </c>
      <c r="D12" s="362">
        <f>210*12</f>
        <v>2520</v>
      </c>
      <c r="E12" s="205">
        <v>1</v>
      </c>
      <c r="F12" s="205">
        <f t="shared" si="0"/>
        <v>2520</v>
      </c>
      <c r="G12" s="205">
        <f t="shared" ref="G12:G20" si="1">C12*F12</f>
        <v>2520</v>
      </c>
    </row>
    <row r="13" spans="1:7" s="59" customFormat="1" ht="27" customHeight="1" x14ac:dyDescent="0.2">
      <c r="A13" s="57">
        <v>3</v>
      </c>
      <c r="B13" s="58" t="s">
        <v>4020</v>
      </c>
      <c r="C13" s="60">
        <v>1</v>
      </c>
      <c r="D13" s="362">
        <f>650*12</f>
        <v>7800</v>
      </c>
      <c r="E13" s="205">
        <v>1</v>
      </c>
      <c r="F13" s="205">
        <f t="shared" si="0"/>
        <v>7800</v>
      </c>
      <c r="G13" s="205">
        <f t="shared" si="1"/>
        <v>7800</v>
      </c>
    </row>
    <row r="14" spans="1:7" s="59" customFormat="1" ht="28.5" hidden="1" customHeight="1" x14ac:dyDescent="0.2">
      <c r="A14" s="57">
        <v>4</v>
      </c>
      <c r="B14" s="58" t="s">
        <v>4021</v>
      </c>
      <c r="C14" s="60">
        <v>1</v>
      </c>
      <c r="D14" s="362"/>
      <c r="E14" s="205">
        <v>1</v>
      </c>
      <c r="F14" s="205">
        <f t="shared" si="0"/>
        <v>0</v>
      </c>
      <c r="G14" s="205">
        <f t="shared" si="1"/>
        <v>0</v>
      </c>
    </row>
    <row r="15" spans="1:7" s="59" customFormat="1" ht="24.6" customHeight="1" x14ac:dyDescent="0.2">
      <c r="A15" s="57">
        <v>4</v>
      </c>
      <c r="B15" s="58" t="s">
        <v>4022</v>
      </c>
      <c r="C15" s="60">
        <v>1</v>
      </c>
      <c r="D15" s="362">
        <f>38.5*12</f>
        <v>462</v>
      </c>
      <c r="E15" s="205">
        <v>1</v>
      </c>
      <c r="F15" s="205">
        <f t="shared" si="0"/>
        <v>462</v>
      </c>
      <c r="G15" s="205">
        <f t="shared" si="1"/>
        <v>462</v>
      </c>
    </row>
    <row r="16" spans="1:7" s="59" customFormat="1" ht="27.75" hidden="1" customHeight="1" x14ac:dyDescent="0.2">
      <c r="A16" s="57">
        <v>6</v>
      </c>
      <c r="B16" s="58" t="s">
        <v>4023</v>
      </c>
      <c r="C16" s="60">
        <v>1</v>
      </c>
      <c r="D16" s="245"/>
      <c r="E16" s="205">
        <v>1</v>
      </c>
      <c r="F16" s="205">
        <f t="shared" si="0"/>
        <v>0</v>
      </c>
      <c r="G16" s="205">
        <f t="shared" si="1"/>
        <v>0</v>
      </c>
    </row>
    <row r="17" spans="1:7" s="59" customFormat="1" ht="26.25" hidden="1" customHeight="1" x14ac:dyDescent="0.2">
      <c r="A17" s="57">
        <v>7</v>
      </c>
      <c r="B17" s="58" t="s">
        <v>4024</v>
      </c>
      <c r="C17" s="60">
        <v>1</v>
      </c>
      <c r="D17" s="245"/>
      <c r="E17" s="205">
        <v>1</v>
      </c>
      <c r="F17" s="205">
        <f t="shared" si="0"/>
        <v>0</v>
      </c>
      <c r="G17" s="205">
        <f t="shared" si="1"/>
        <v>0</v>
      </c>
    </row>
    <row r="18" spans="1:7" s="59" customFormat="1" ht="26.25" hidden="1" customHeight="1" x14ac:dyDescent="0.2">
      <c r="A18" s="57">
        <v>8</v>
      </c>
      <c r="B18" s="58" t="s">
        <v>4025</v>
      </c>
      <c r="C18" s="60">
        <v>1</v>
      </c>
      <c r="D18" s="245"/>
      <c r="E18" s="205">
        <v>1</v>
      </c>
      <c r="F18" s="205">
        <f t="shared" si="0"/>
        <v>0</v>
      </c>
      <c r="G18" s="205">
        <f t="shared" si="1"/>
        <v>0</v>
      </c>
    </row>
    <row r="19" spans="1:7" s="59" customFormat="1" ht="26.25" customHeight="1" x14ac:dyDescent="0.2">
      <c r="A19" s="824" t="s">
        <v>4026</v>
      </c>
      <c r="B19" s="825"/>
      <c r="C19" s="825"/>
      <c r="D19" s="825"/>
      <c r="E19" s="825"/>
      <c r="F19" s="826"/>
      <c r="G19" s="205">
        <f>SUM(G11:G18)</f>
        <v>13962</v>
      </c>
    </row>
    <row r="20" spans="1:7" s="59" customFormat="1" ht="62.25" customHeight="1" x14ac:dyDescent="0.2">
      <c r="A20" s="57">
        <v>1</v>
      </c>
      <c r="B20" s="58" t="s">
        <v>4031</v>
      </c>
      <c r="C20" s="60">
        <v>1</v>
      </c>
      <c r="D20" s="578">
        <v>90000</v>
      </c>
      <c r="E20" s="205">
        <v>1</v>
      </c>
      <c r="F20" s="205">
        <f>D20*E20</f>
        <v>90000</v>
      </c>
      <c r="G20" s="205">
        <f t="shared" si="1"/>
        <v>90000</v>
      </c>
    </row>
    <row r="21" spans="1:7" ht="23.25" customHeight="1" x14ac:dyDescent="0.2">
      <c r="A21" s="830" t="s">
        <v>4028</v>
      </c>
      <c r="B21" s="828"/>
      <c r="C21" s="828"/>
      <c r="D21" s="828"/>
      <c r="E21" s="828"/>
      <c r="F21" s="829"/>
      <c r="G21" s="205">
        <f>SUM(G20)</f>
        <v>90000</v>
      </c>
    </row>
    <row r="22" spans="1:7" x14ac:dyDescent="0.2">
      <c r="A22" s="38"/>
      <c r="B22" s="38"/>
      <c r="C22" s="38"/>
      <c r="D22" s="38"/>
      <c r="E22" s="38"/>
    </row>
    <row r="23" spans="1:7" ht="15" hidden="1" x14ac:dyDescent="0.2">
      <c r="B23" s="791" t="s">
        <v>3847</v>
      </c>
      <c r="C23" s="791"/>
      <c r="D23" s="791"/>
      <c r="E23" s="791"/>
      <c r="F23" s="791"/>
    </row>
    <row r="24" spans="1:7" s="23" customFormat="1" ht="17.25" customHeight="1" x14ac:dyDescent="0.2">
      <c r="A24" s="21"/>
    </row>
    <row r="25" spans="1:7" s="23" customFormat="1" ht="18" customHeight="1" x14ac:dyDescent="0.2">
      <c r="A25" s="42"/>
      <c r="B25" s="25"/>
    </row>
    <row r="26" spans="1:7" s="23" customFormat="1" ht="15" x14ac:dyDescent="0.2">
      <c r="A26" s="42"/>
      <c r="B26" s="191"/>
    </row>
    <row r="27" spans="1:7" s="23" customFormat="1" ht="15" x14ac:dyDescent="0.2">
      <c r="A27" s="42"/>
      <c r="B27" s="191"/>
    </row>
    <row r="28" spans="1:7" s="23" customFormat="1" ht="15" x14ac:dyDescent="0.2">
      <c r="A28" s="191"/>
    </row>
    <row r="29" spans="1:7" s="23" customFormat="1" ht="15" x14ac:dyDescent="0.2">
      <c r="A29" s="792"/>
      <c r="B29" s="793"/>
    </row>
    <row r="30" spans="1:7" s="23" customFormat="1" ht="15" customHeight="1" x14ac:dyDescent="0.2">
      <c r="A30" s="788"/>
      <c r="B30" s="788"/>
    </row>
    <row r="31" spans="1:7" s="23" customFormat="1" ht="15" x14ac:dyDescent="0.2">
      <c r="A31" s="788"/>
      <c r="B31" s="788"/>
    </row>
    <row r="32" spans="1:7" s="23" customFormat="1" ht="15" x14ac:dyDescent="0.2">
      <c r="A32" s="788"/>
      <c r="B32" s="788"/>
    </row>
    <row r="33" spans="1:2" s="23" customFormat="1" ht="15" x14ac:dyDescent="0.2">
      <c r="A33" s="191"/>
      <c r="B33" s="191"/>
    </row>
  </sheetData>
  <mergeCells count="10">
    <mergeCell ref="E1:G1"/>
    <mergeCell ref="E2:G2"/>
    <mergeCell ref="A31:B31"/>
    <mergeCell ref="A32:B32"/>
    <mergeCell ref="B7:G7"/>
    <mergeCell ref="A19:F19"/>
    <mergeCell ref="A21:F21"/>
    <mergeCell ref="B23:F23"/>
    <mergeCell ref="A29:B29"/>
    <mergeCell ref="A30:B3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28"/>
  <sheetViews>
    <sheetView workbookViewId="0">
      <selection activeCell="K1" sqref="K1:M1"/>
    </sheetView>
  </sheetViews>
  <sheetFormatPr defaultRowHeight="12.75" x14ac:dyDescent="0.2"/>
  <cols>
    <col min="1" max="1" width="3.7109375" customWidth="1"/>
    <col min="2" max="2" width="39.5703125" customWidth="1"/>
    <col min="3" max="3" width="16.140625" bestFit="1" customWidth="1"/>
    <col min="4" max="4" width="11.140625" bestFit="1" customWidth="1"/>
    <col min="5" max="5" width="9" bestFit="1" customWidth="1"/>
    <col min="6" max="6" width="11" bestFit="1" customWidth="1"/>
    <col min="7" max="7" width="11.140625" bestFit="1" customWidth="1"/>
    <col min="8" max="8" width="9" bestFit="1" customWidth="1"/>
    <col min="9" max="9" width="8" bestFit="1" customWidth="1"/>
    <col min="10" max="10" width="10" bestFit="1" customWidth="1"/>
    <col min="11" max="12" width="9" bestFit="1" customWidth="1"/>
    <col min="13" max="13" width="19.28515625" customWidth="1"/>
  </cols>
  <sheetData>
    <row r="1" spans="1:13" s="24" customFormat="1" ht="15" x14ac:dyDescent="0.2">
      <c r="B1" s="796"/>
      <c r="C1" s="796"/>
      <c r="K1" s="801" t="s">
        <v>4679</v>
      </c>
      <c r="L1" s="801"/>
      <c r="M1" s="801"/>
    </row>
    <row r="2" spans="1:13" s="24" customFormat="1" ht="15" x14ac:dyDescent="0.2">
      <c r="B2" s="796"/>
      <c r="C2" s="796"/>
      <c r="K2" s="786" t="s">
        <v>4586</v>
      </c>
      <c r="L2" s="786"/>
      <c r="M2" s="786"/>
    </row>
    <row r="3" spans="1:13" s="24" customFormat="1" ht="15" x14ac:dyDescent="0.2">
      <c r="B3" s="297"/>
      <c r="C3" s="297"/>
    </row>
    <row r="4" spans="1:13" s="24" customFormat="1" ht="15" x14ac:dyDescent="0.2"/>
    <row r="5" spans="1:13" s="24" customFormat="1" ht="15" x14ac:dyDescent="0.2"/>
    <row r="6" spans="1:13" ht="15.75" x14ac:dyDescent="0.25">
      <c r="A6" s="10"/>
      <c r="B6" s="10"/>
    </row>
    <row r="7" spans="1:13" ht="48" customHeight="1" x14ac:dyDescent="0.2">
      <c r="A7" s="823" t="s">
        <v>3910</v>
      </c>
      <c r="B7" s="823"/>
      <c r="C7" s="823"/>
      <c r="D7" s="823"/>
      <c r="E7" s="823"/>
      <c r="F7" s="823"/>
      <c r="G7" s="823"/>
      <c r="H7" s="823"/>
      <c r="I7" s="823"/>
      <c r="J7" s="823"/>
      <c r="K7" s="823"/>
      <c r="L7" s="823"/>
      <c r="M7" s="823"/>
    </row>
    <row r="8" spans="1:13" x14ac:dyDescent="0.2">
      <c r="A8" s="12"/>
      <c r="B8" s="12"/>
    </row>
    <row r="9" spans="1:13" s="53" customFormat="1" ht="31.15" customHeight="1" x14ac:dyDescent="0.2">
      <c r="A9" s="833" t="s">
        <v>4105</v>
      </c>
      <c r="B9" s="833" t="s">
        <v>121</v>
      </c>
      <c r="C9" s="832" t="s">
        <v>3884</v>
      </c>
      <c r="D9" s="832"/>
      <c r="E9" s="832"/>
      <c r="F9" s="831" t="s">
        <v>4361</v>
      </c>
      <c r="G9" s="831"/>
      <c r="H9" s="831"/>
      <c r="I9" s="831" t="s">
        <v>4580</v>
      </c>
      <c r="J9" s="831" t="s">
        <v>4581</v>
      </c>
      <c r="K9" s="831"/>
      <c r="L9" s="831"/>
      <c r="M9" s="831" t="s">
        <v>3827</v>
      </c>
    </row>
    <row r="10" spans="1:13" s="53" customFormat="1" ht="40.5" customHeight="1" x14ac:dyDescent="0.2">
      <c r="A10" s="833"/>
      <c r="B10" s="833"/>
      <c r="C10" s="203" t="s">
        <v>3880</v>
      </c>
      <c r="D10" s="204" t="s">
        <v>3881</v>
      </c>
      <c r="E10" s="204" t="s">
        <v>3885</v>
      </c>
      <c r="F10" s="203" t="s">
        <v>3880</v>
      </c>
      <c r="G10" s="204" t="s">
        <v>3881</v>
      </c>
      <c r="H10" s="204" t="s">
        <v>3885</v>
      </c>
      <c r="I10" s="831"/>
      <c r="J10" s="203" t="s">
        <v>3880</v>
      </c>
      <c r="K10" s="204" t="s">
        <v>3881</v>
      </c>
      <c r="L10" s="204" t="s">
        <v>3885</v>
      </c>
      <c r="M10" s="831"/>
    </row>
    <row r="11" spans="1:13" s="56" customFormat="1" ht="11.25" x14ac:dyDescent="0.2">
      <c r="A11" s="54">
        <v>1</v>
      </c>
      <c r="B11" s="54">
        <v>2</v>
      </c>
      <c r="C11" s="54">
        <v>3</v>
      </c>
      <c r="D11" s="54">
        <v>4</v>
      </c>
      <c r="E11" s="54">
        <v>5</v>
      </c>
      <c r="F11" s="54">
        <v>6</v>
      </c>
      <c r="G11" s="54">
        <v>7</v>
      </c>
      <c r="H11" s="54">
        <v>8</v>
      </c>
      <c r="I11" s="54">
        <v>9</v>
      </c>
      <c r="J11" s="54">
        <v>10</v>
      </c>
      <c r="K11" s="54">
        <v>11</v>
      </c>
      <c r="L11" s="54">
        <v>12</v>
      </c>
      <c r="M11" s="54">
        <v>13</v>
      </c>
    </row>
    <row r="12" spans="1:13" s="59" customFormat="1" ht="52.5" customHeight="1" x14ac:dyDescent="0.2">
      <c r="A12" s="57">
        <v>1</v>
      </c>
      <c r="B12" s="547" t="s">
        <v>4566</v>
      </c>
      <c r="C12" s="60">
        <v>18.809999999999999</v>
      </c>
      <c r="D12" s="60">
        <v>18.809999999999999</v>
      </c>
      <c r="E12" s="60">
        <v>0.26400000000000001</v>
      </c>
      <c r="F12" s="575">
        <v>55.11</v>
      </c>
      <c r="G12" s="576">
        <v>40.380000000000003</v>
      </c>
      <c r="H12" s="576">
        <v>3171.28</v>
      </c>
      <c r="I12" s="134">
        <v>1</v>
      </c>
      <c r="J12" s="205">
        <f>F12*I12</f>
        <v>55.11</v>
      </c>
      <c r="K12" s="205">
        <f>G12*I12</f>
        <v>40.380000000000003</v>
      </c>
      <c r="L12" s="205">
        <f>H12*I12</f>
        <v>3171.28</v>
      </c>
      <c r="M12" s="205">
        <f>C12*J12+D12*K12+E12*L12</f>
        <v>2633.3848200000002</v>
      </c>
    </row>
    <row r="13" spans="1:13" s="59" customFormat="1" ht="56.25" customHeight="1" x14ac:dyDescent="0.2">
      <c r="A13" s="57">
        <v>2</v>
      </c>
      <c r="B13" s="547" t="s">
        <v>4567</v>
      </c>
      <c r="C13" s="60">
        <v>28.22</v>
      </c>
      <c r="D13" s="60">
        <v>28.22</v>
      </c>
      <c r="E13" s="60">
        <v>0.26400000000000001</v>
      </c>
      <c r="F13" s="575">
        <v>55.11</v>
      </c>
      <c r="G13" s="576">
        <v>40.380000000000003</v>
      </c>
      <c r="H13" s="576">
        <v>3171.28</v>
      </c>
      <c r="I13" s="134">
        <v>1</v>
      </c>
      <c r="J13" s="205">
        <f>F13*I13</f>
        <v>55.11</v>
      </c>
      <c r="K13" s="205">
        <f>G13*I13</f>
        <v>40.380000000000003</v>
      </c>
      <c r="L13" s="205">
        <f>H13*I13</f>
        <v>3171.28</v>
      </c>
      <c r="M13" s="205">
        <f t="shared" ref="M13:M15" si="0">C13*J13+D13*K13+E13*L13</f>
        <v>3531.9457199999997</v>
      </c>
    </row>
    <row r="14" spans="1:13" s="59" customFormat="1" ht="42.75" customHeight="1" x14ac:dyDescent="0.2">
      <c r="A14" s="57">
        <v>3</v>
      </c>
      <c r="B14" s="547" t="s">
        <v>4568</v>
      </c>
      <c r="C14" s="60">
        <v>3.6</v>
      </c>
      <c r="D14" s="60">
        <v>3.6</v>
      </c>
      <c r="E14" s="60">
        <v>3.4000000000000002E-2</v>
      </c>
      <c r="F14" s="575">
        <v>55.11</v>
      </c>
      <c r="G14" s="576">
        <v>40.380000000000003</v>
      </c>
      <c r="H14" s="576">
        <v>3171.28</v>
      </c>
      <c r="I14" s="134">
        <v>1</v>
      </c>
      <c r="J14" s="205">
        <f>F14*I14</f>
        <v>55.11</v>
      </c>
      <c r="K14" s="205">
        <f>G14*I14</f>
        <v>40.380000000000003</v>
      </c>
      <c r="L14" s="205">
        <f>H14*I14</f>
        <v>3171.28</v>
      </c>
      <c r="M14" s="205">
        <f t="shared" si="0"/>
        <v>451.58752000000004</v>
      </c>
    </row>
    <row r="15" spans="1:13" s="59" customFormat="1" ht="19.5" customHeight="1" x14ac:dyDescent="0.2">
      <c r="A15" s="57">
        <v>4</v>
      </c>
      <c r="B15" s="760" t="s">
        <v>128</v>
      </c>
      <c r="C15" s="60">
        <v>0.9</v>
      </c>
      <c r="D15" s="60">
        <v>0.9</v>
      </c>
      <c r="E15" s="60">
        <v>1.2E-2</v>
      </c>
      <c r="F15" s="575">
        <v>55.11</v>
      </c>
      <c r="G15" s="576">
        <v>40.380000000000003</v>
      </c>
      <c r="H15" s="576">
        <v>3171.28</v>
      </c>
      <c r="I15" s="134">
        <v>1</v>
      </c>
      <c r="J15" s="205">
        <f>F15*I15</f>
        <v>55.11</v>
      </c>
      <c r="K15" s="205">
        <f>G15*I15</f>
        <v>40.380000000000003</v>
      </c>
      <c r="L15" s="205">
        <f>H15*I15</f>
        <v>3171.28</v>
      </c>
      <c r="M15" s="205">
        <f t="shared" si="0"/>
        <v>123.99636000000001</v>
      </c>
    </row>
    <row r="16" spans="1:13" x14ac:dyDescent="0.2">
      <c r="A16" s="38"/>
      <c r="B16" s="298"/>
      <c r="C16" s="38"/>
      <c r="D16" s="299"/>
      <c r="E16" s="299"/>
      <c r="F16" s="299"/>
      <c r="G16" s="299"/>
      <c r="H16" s="299"/>
      <c r="I16" s="299"/>
      <c r="J16" s="300"/>
      <c r="K16" s="300"/>
      <c r="L16" s="300"/>
      <c r="M16" s="301"/>
    </row>
    <row r="17" spans="1:12" ht="15" hidden="1" x14ac:dyDescent="0.2">
      <c r="B17" s="791" t="s">
        <v>3847</v>
      </c>
      <c r="C17" s="791"/>
      <c r="D17" s="791"/>
      <c r="E17" s="151"/>
      <c r="F17" s="249"/>
      <c r="G17" s="249"/>
      <c r="H17" s="249"/>
      <c r="I17" s="249">
        <v>1.0429999999999999</v>
      </c>
    </row>
    <row r="18" spans="1:12" s="23" customFormat="1" ht="17.25" customHeight="1" x14ac:dyDescent="0.2">
      <c r="A18" s="21"/>
      <c r="J18"/>
      <c r="K18"/>
      <c r="L18"/>
    </row>
    <row r="19" spans="1:12" s="23" customFormat="1" ht="18" customHeight="1" x14ac:dyDescent="0.2">
      <c r="A19" s="42"/>
      <c r="B19" s="25"/>
    </row>
    <row r="20" spans="1:12" s="23" customFormat="1" ht="15" x14ac:dyDescent="0.2">
      <c r="A20" s="42"/>
      <c r="B20" s="150"/>
    </row>
    <row r="21" spans="1:12" s="23" customFormat="1" ht="15" x14ac:dyDescent="0.2">
      <c r="A21" s="42"/>
      <c r="B21" s="150"/>
    </row>
    <row r="22" spans="1:12" s="23" customFormat="1" ht="15" x14ac:dyDescent="0.2">
      <c r="A22" s="150"/>
    </row>
    <row r="23" spans="1:12" s="23" customFormat="1" ht="15" x14ac:dyDescent="0.2">
      <c r="A23" s="792"/>
      <c r="B23" s="793"/>
    </row>
    <row r="24" spans="1:12" s="23" customFormat="1" ht="15" customHeight="1" x14ac:dyDescent="0.2">
      <c r="A24" s="788"/>
      <c r="B24" s="788"/>
    </row>
    <row r="25" spans="1:12" s="23" customFormat="1" ht="15" x14ac:dyDescent="0.2">
      <c r="A25" s="788"/>
      <c r="B25" s="788"/>
    </row>
    <row r="26" spans="1:12" s="23" customFormat="1" ht="15" x14ac:dyDescent="0.2">
      <c r="A26" s="788"/>
      <c r="B26" s="788"/>
    </row>
    <row r="27" spans="1:12" s="23" customFormat="1" ht="15" x14ac:dyDescent="0.2">
      <c r="A27" s="150"/>
      <c r="B27" s="150"/>
    </row>
    <row r="28" spans="1:12" ht="15" x14ac:dyDescent="0.2">
      <c r="J28" s="23"/>
      <c r="K28" s="23"/>
      <c r="L28" s="23"/>
    </row>
  </sheetData>
  <mergeCells count="17">
    <mergeCell ref="K1:M1"/>
    <mergeCell ref="K2:M2"/>
    <mergeCell ref="A9:A10"/>
    <mergeCell ref="B1:C1"/>
    <mergeCell ref="B2:C2"/>
    <mergeCell ref="B9:B10"/>
    <mergeCell ref="A7:M7"/>
    <mergeCell ref="A24:B24"/>
    <mergeCell ref="A25:B25"/>
    <mergeCell ref="A26:B26"/>
    <mergeCell ref="M9:M10"/>
    <mergeCell ref="C9:E9"/>
    <mergeCell ref="J9:L9"/>
    <mergeCell ref="B17:D17"/>
    <mergeCell ref="A23:B23"/>
    <mergeCell ref="F9:H9"/>
    <mergeCell ref="I9:I10"/>
  </mergeCells>
  <pageMargins left="0.74803149606299213" right="0.35433070866141736" top="0.6692913385826772" bottom="0.98425196850393704" header="0.31496062992125984" footer="0.51181102362204722"/>
  <pageSetup paperSize="9" scale="83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23"/>
  <sheetViews>
    <sheetView workbookViewId="0">
      <selection activeCell="E1" sqref="E1:G1"/>
    </sheetView>
  </sheetViews>
  <sheetFormatPr defaultRowHeight="12.75" x14ac:dyDescent="0.2"/>
  <cols>
    <col min="1" max="1" width="3.7109375" customWidth="1"/>
    <col min="2" max="2" width="39.5703125" customWidth="1"/>
    <col min="3" max="3" width="14.85546875" customWidth="1"/>
    <col min="4" max="4" width="13" customWidth="1"/>
    <col min="5" max="5" width="11.140625" customWidth="1"/>
    <col min="6" max="6" width="13.7109375" customWidth="1"/>
    <col min="7" max="7" width="16.85546875" customWidth="1"/>
    <col min="9" max="9" width="12.85546875" customWidth="1"/>
  </cols>
  <sheetData>
    <row r="1" spans="1:7" s="297" customFormat="1" ht="15" x14ac:dyDescent="0.2">
      <c r="B1" s="296"/>
      <c r="E1" s="801" t="s">
        <v>4680</v>
      </c>
      <c r="F1" s="801"/>
      <c r="G1" s="801"/>
    </row>
    <row r="2" spans="1:7" s="297" customFormat="1" ht="15" x14ac:dyDescent="0.2">
      <c r="B2" s="296"/>
      <c r="E2" s="786" t="s">
        <v>4586</v>
      </c>
      <c r="F2" s="786"/>
      <c r="G2" s="786"/>
    </row>
    <row r="3" spans="1:7" s="24" customFormat="1" ht="15" x14ac:dyDescent="0.2"/>
    <row r="4" spans="1:7" s="24" customFormat="1" ht="15" x14ac:dyDescent="0.2"/>
    <row r="5" spans="1:7" s="24" customFormat="1" ht="15" x14ac:dyDescent="0.2"/>
    <row r="6" spans="1:7" ht="15.75" x14ac:dyDescent="0.25">
      <c r="A6" s="10"/>
      <c r="B6" s="10"/>
    </row>
    <row r="7" spans="1:7" ht="48" customHeight="1" x14ac:dyDescent="0.2">
      <c r="A7" s="787" t="s">
        <v>3882</v>
      </c>
      <c r="B7" s="787"/>
      <c r="C7" s="787"/>
      <c r="D7" s="787"/>
      <c r="E7" s="787"/>
      <c r="F7" s="787"/>
      <c r="G7" s="787"/>
    </row>
    <row r="8" spans="1:7" x14ac:dyDescent="0.2">
      <c r="A8" s="12"/>
      <c r="B8" s="12"/>
    </row>
    <row r="9" spans="1:7" s="53" customFormat="1" ht="51" x14ac:dyDescent="0.2">
      <c r="A9" s="202" t="s">
        <v>4105</v>
      </c>
      <c r="B9" s="302" t="s">
        <v>121</v>
      </c>
      <c r="C9" s="304" t="s">
        <v>3883</v>
      </c>
      <c r="D9" s="291" t="s">
        <v>4369</v>
      </c>
      <c r="E9" s="291" t="s">
        <v>4580</v>
      </c>
      <c r="F9" s="291" t="s">
        <v>4360</v>
      </c>
      <c r="G9" s="304" t="s">
        <v>4107</v>
      </c>
    </row>
    <row r="10" spans="1:7" s="56" customFormat="1" ht="11.25" x14ac:dyDescent="0.2">
      <c r="A10" s="54">
        <v>1</v>
      </c>
      <c r="B10" s="54">
        <v>2</v>
      </c>
      <c r="C10" s="54">
        <v>3</v>
      </c>
      <c r="D10" s="54">
        <v>4</v>
      </c>
      <c r="E10" s="54">
        <v>5</v>
      </c>
      <c r="F10" s="54">
        <v>6</v>
      </c>
      <c r="G10" s="54">
        <v>7</v>
      </c>
    </row>
    <row r="11" spans="1:7" s="59" customFormat="1" ht="60.75" customHeight="1" x14ac:dyDescent="0.2">
      <c r="A11" s="57">
        <v>1</v>
      </c>
      <c r="B11" s="547" t="s">
        <v>4568</v>
      </c>
      <c r="C11" s="60">
        <v>0.216</v>
      </c>
      <c r="D11" s="357">
        <v>2691.48</v>
      </c>
      <c r="E11" s="134">
        <v>1</v>
      </c>
      <c r="F11" s="205">
        <f>D11*E11</f>
        <v>2691.48</v>
      </c>
      <c r="G11" s="205">
        <f>C11*F11</f>
        <v>581.35968000000003</v>
      </c>
    </row>
    <row r="12" spans="1:7" s="59" customFormat="1" ht="54" customHeight="1" x14ac:dyDescent="0.2">
      <c r="A12" s="57">
        <v>2</v>
      </c>
      <c r="B12" s="547" t="s">
        <v>4566</v>
      </c>
      <c r="C12" s="60">
        <v>0.16800000000000001</v>
      </c>
      <c r="D12" s="357">
        <v>2691.48</v>
      </c>
      <c r="E12" s="134">
        <v>1</v>
      </c>
      <c r="F12" s="205">
        <f>D12*E12</f>
        <v>2691.48</v>
      </c>
      <c r="G12" s="205">
        <f t="shared" ref="G12" si="0">C12*F12</f>
        <v>452.16864000000004</v>
      </c>
    </row>
    <row r="13" spans="1:7" s="95" customFormat="1" ht="15" x14ac:dyDescent="0.2">
      <c r="B13" s="834"/>
      <c r="C13" s="834"/>
      <c r="D13" s="305"/>
      <c r="E13" s="305"/>
    </row>
    <row r="14" spans="1:7" s="23" customFormat="1" ht="17.25" customHeight="1" x14ac:dyDescent="0.2">
      <c r="A14" s="21"/>
    </row>
    <row r="15" spans="1:7" s="23" customFormat="1" ht="18" customHeight="1" x14ac:dyDescent="0.2">
      <c r="A15" s="42"/>
      <c r="B15" s="25"/>
    </row>
    <row r="16" spans="1:7" s="23" customFormat="1" ht="15" x14ac:dyDescent="0.2">
      <c r="A16" s="42"/>
      <c r="B16" s="150"/>
    </row>
    <row r="17" spans="1:2" s="23" customFormat="1" ht="15" x14ac:dyDescent="0.2">
      <c r="A17" s="42"/>
      <c r="B17" s="150"/>
    </row>
    <row r="18" spans="1:2" s="23" customFormat="1" ht="15" x14ac:dyDescent="0.2">
      <c r="A18" s="150"/>
    </row>
    <row r="19" spans="1:2" s="23" customFormat="1" ht="15" x14ac:dyDescent="0.2">
      <c r="A19" s="792"/>
      <c r="B19" s="793"/>
    </row>
    <row r="20" spans="1:2" s="23" customFormat="1" ht="15" customHeight="1" x14ac:dyDescent="0.2">
      <c r="A20" s="788"/>
      <c r="B20" s="788"/>
    </row>
    <row r="21" spans="1:2" s="23" customFormat="1" ht="15" x14ac:dyDescent="0.2">
      <c r="A21" s="788"/>
      <c r="B21" s="788"/>
    </row>
    <row r="22" spans="1:2" s="23" customFormat="1" ht="15" x14ac:dyDescent="0.2">
      <c r="A22" s="788"/>
      <c r="B22" s="788"/>
    </row>
    <row r="23" spans="1:2" s="23" customFormat="1" ht="15" x14ac:dyDescent="0.2">
      <c r="A23" s="150"/>
      <c r="B23" s="150"/>
    </row>
  </sheetData>
  <mergeCells count="8">
    <mergeCell ref="E1:G1"/>
    <mergeCell ref="E2:G2"/>
    <mergeCell ref="A21:B21"/>
    <mergeCell ref="A22:B22"/>
    <mergeCell ref="B13:C13"/>
    <mergeCell ref="A19:B19"/>
    <mergeCell ref="A20:B20"/>
    <mergeCell ref="A7:G7"/>
  </mergeCells>
  <pageMargins left="0.74803149606299213" right="0.35433070866141736" top="0.6692913385826772" bottom="0.98425196850393704" header="0.31496062992125984" footer="0.51181102362204722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25"/>
  <sheetViews>
    <sheetView view="pageBreakPreview" zoomScaleSheetLayoutView="100" workbookViewId="0">
      <selection activeCell="E1" sqref="E1:G1"/>
    </sheetView>
  </sheetViews>
  <sheetFormatPr defaultRowHeight="12.75" x14ac:dyDescent="0.2"/>
  <cols>
    <col min="1" max="1" width="3.7109375" customWidth="1"/>
    <col min="2" max="2" width="39.5703125" customWidth="1"/>
    <col min="3" max="3" width="18.7109375" bestFit="1" customWidth="1"/>
    <col min="4" max="4" width="12.28515625" customWidth="1"/>
    <col min="5" max="5" width="11.5703125" customWidth="1"/>
    <col min="6" max="6" width="11.140625" customWidth="1"/>
    <col min="7" max="7" width="19.7109375" customWidth="1"/>
  </cols>
  <sheetData>
    <row r="1" spans="1:7" s="24" customFormat="1" ht="15" x14ac:dyDescent="0.2">
      <c r="B1" s="801"/>
      <c r="C1" s="801"/>
      <c r="D1" s="250"/>
      <c r="E1" s="801" t="s">
        <v>4681</v>
      </c>
      <c r="F1" s="801"/>
      <c r="G1" s="801"/>
    </row>
    <row r="2" spans="1:7" s="24" customFormat="1" ht="15" x14ac:dyDescent="0.2">
      <c r="B2" s="801"/>
      <c r="C2" s="801"/>
      <c r="D2" s="250"/>
      <c r="E2" s="786" t="s">
        <v>4586</v>
      </c>
      <c r="F2" s="786"/>
      <c r="G2" s="786"/>
    </row>
    <row r="3" spans="1:7" s="24" customFormat="1" ht="15" x14ac:dyDescent="0.2"/>
    <row r="4" spans="1:7" s="24" customFormat="1" ht="15" x14ac:dyDescent="0.2"/>
    <row r="5" spans="1:7" s="24" customFormat="1" ht="15" x14ac:dyDescent="0.2"/>
    <row r="6" spans="1:7" ht="15.75" x14ac:dyDescent="0.25">
      <c r="A6" s="10"/>
      <c r="B6" s="10"/>
    </row>
    <row r="7" spans="1:7" ht="48" customHeight="1" x14ac:dyDescent="0.2">
      <c r="A7" s="823" t="s">
        <v>3916</v>
      </c>
      <c r="B7" s="823"/>
      <c r="C7" s="823"/>
      <c r="D7" s="823"/>
      <c r="E7" s="823"/>
      <c r="F7" s="823"/>
      <c r="G7" s="823"/>
    </row>
    <row r="8" spans="1:7" x14ac:dyDescent="0.2">
      <c r="A8" s="12"/>
      <c r="B8" s="12"/>
    </row>
    <row r="9" spans="1:7" s="53" customFormat="1" ht="50.45" customHeight="1" x14ac:dyDescent="0.2">
      <c r="A9" s="202" t="s">
        <v>4105</v>
      </c>
      <c r="B9" s="202" t="s">
        <v>121</v>
      </c>
      <c r="C9" s="306" t="s">
        <v>3913</v>
      </c>
      <c r="D9" s="291" t="s">
        <v>4369</v>
      </c>
      <c r="E9" s="291" t="s">
        <v>4580</v>
      </c>
      <c r="F9" s="291" t="s">
        <v>4360</v>
      </c>
      <c r="G9" s="304" t="s">
        <v>3915</v>
      </c>
    </row>
    <row r="10" spans="1:7" s="56" customFormat="1" ht="11.25" x14ac:dyDescent="0.2">
      <c r="A10" s="54">
        <v>1</v>
      </c>
      <c r="B10" s="55">
        <v>2</v>
      </c>
      <c r="C10" s="54">
        <v>3</v>
      </c>
      <c r="D10" s="54">
        <v>4</v>
      </c>
      <c r="E10" s="54">
        <v>5</v>
      </c>
      <c r="F10" s="54">
        <v>6</v>
      </c>
      <c r="G10" s="54">
        <v>7</v>
      </c>
    </row>
    <row r="11" spans="1:7" s="59" customFormat="1" ht="48.75" customHeight="1" x14ac:dyDescent="0.2">
      <c r="A11" s="57">
        <v>1</v>
      </c>
      <c r="B11" s="547" t="s">
        <v>4568</v>
      </c>
      <c r="C11" s="355">
        <v>30.8</v>
      </c>
      <c r="D11" s="575">
        <v>8.1</v>
      </c>
      <c r="E11" s="134">
        <v>1</v>
      </c>
      <c r="F11" s="205">
        <f>D11*E11</f>
        <v>8.1</v>
      </c>
      <c r="G11" s="205">
        <f>C11*F11</f>
        <v>249.48</v>
      </c>
    </row>
    <row r="12" spans="1:7" s="59" customFormat="1" ht="51" x14ac:dyDescent="0.2">
      <c r="A12" s="57">
        <v>2</v>
      </c>
      <c r="B12" s="547" t="s">
        <v>4566</v>
      </c>
      <c r="C12" s="355">
        <v>29</v>
      </c>
      <c r="D12" s="575">
        <v>8.1</v>
      </c>
      <c r="E12" s="134">
        <v>1</v>
      </c>
      <c r="F12" s="205">
        <f>D12*E12</f>
        <v>8.1</v>
      </c>
      <c r="G12" s="205">
        <f t="shared" ref="G12:G13" si="0">C12*F12</f>
        <v>234.89999999999998</v>
      </c>
    </row>
    <row r="13" spans="1:7" s="59" customFormat="1" x14ac:dyDescent="0.2">
      <c r="A13" s="57">
        <v>3</v>
      </c>
      <c r="B13" s="135" t="s">
        <v>128</v>
      </c>
      <c r="C13" s="355">
        <v>20.8</v>
      </c>
      <c r="D13" s="575">
        <v>8.1</v>
      </c>
      <c r="E13" s="134">
        <v>1</v>
      </c>
      <c r="F13" s="205">
        <f>D13*E13</f>
        <v>8.1</v>
      </c>
      <c r="G13" s="205">
        <f t="shared" si="0"/>
        <v>168.48</v>
      </c>
    </row>
    <row r="14" spans="1:7" ht="25.5" x14ac:dyDescent="0.2">
      <c r="A14" s="57">
        <v>4</v>
      </c>
      <c r="B14" s="135" t="s">
        <v>3914</v>
      </c>
      <c r="C14" s="355">
        <v>35.4</v>
      </c>
      <c r="D14" s="575">
        <v>8.1</v>
      </c>
      <c r="E14" s="134">
        <v>1</v>
      </c>
      <c r="F14" s="205">
        <f>D14*E14</f>
        <v>8.1</v>
      </c>
      <c r="G14" s="205">
        <f>C14*F14</f>
        <v>286.73999999999995</v>
      </c>
    </row>
    <row r="15" spans="1:7" s="23" customFormat="1" ht="17.25" customHeight="1" x14ac:dyDescent="0.2">
      <c r="A15" s="21"/>
    </row>
    <row r="16" spans="1:7" s="23" customFormat="1" ht="18" customHeight="1" x14ac:dyDescent="0.2">
      <c r="A16" s="42"/>
      <c r="B16" s="25"/>
      <c r="D16" s="332"/>
    </row>
    <row r="17" spans="1:7" s="23" customFormat="1" ht="15" x14ac:dyDescent="0.2">
      <c r="A17" s="42"/>
      <c r="B17" s="168"/>
    </row>
    <row r="18" spans="1:7" s="23" customFormat="1" ht="15" x14ac:dyDescent="0.2">
      <c r="A18" s="42"/>
      <c r="B18" s="168"/>
    </row>
    <row r="19" spans="1:7" s="23" customFormat="1" ht="15" x14ac:dyDescent="0.2">
      <c r="A19" s="168"/>
    </row>
    <row r="20" spans="1:7" s="23" customFormat="1" ht="15" x14ac:dyDescent="0.2">
      <c r="A20" s="792"/>
      <c r="B20" s="793"/>
    </row>
    <row r="21" spans="1:7" s="23" customFormat="1" ht="15" customHeight="1" x14ac:dyDescent="0.2">
      <c r="A21" s="788"/>
      <c r="B21" s="788"/>
    </row>
    <row r="22" spans="1:7" s="23" customFormat="1" ht="15" x14ac:dyDescent="0.2">
      <c r="A22" s="788"/>
      <c r="B22" s="788"/>
    </row>
    <row r="23" spans="1:7" s="23" customFormat="1" ht="15" x14ac:dyDescent="0.2">
      <c r="A23" s="788"/>
      <c r="B23" s="788"/>
    </row>
    <row r="24" spans="1:7" s="23" customFormat="1" ht="15" x14ac:dyDescent="0.2">
      <c r="A24" s="168"/>
      <c r="B24" s="168"/>
    </row>
    <row r="25" spans="1:7" x14ac:dyDescent="0.2">
      <c r="G25" s="353"/>
    </row>
  </sheetData>
  <mergeCells count="9">
    <mergeCell ref="E1:G1"/>
    <mergeCell ref="E2:G2"/>
    <mergeCell ref="A7:G7"/>
    <mergeCell ref="A23:B23"/>
    <mergeCell ref="B1:C1"/>
    <mergeCell ref="B2:C2"/>
    <mergeCell ref="A20:B20"/>
    <mergeCell ref="A21:B21"/>
    <mergeCell ref="A22:B22"/>
  </mergeCells>
  <pageMargins left="0.75" right="0.34" top="0.68" bottom="1" header="0.32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24"/>
  <sheetViews>
    <sheetView workbookViewId="0">
      <selection activeCell="E1" sqref="E1:G1"/>
    </sheetView>
  </sheetViews>
  <sheetFormatPr defaultRowHeight="12.75" x14ac:dyDescent="0.2"/>
  <cols>
    <col min="1" max="1" width="3.7109375" customWidth="1"/>
    <col min="2" max="2" width="39.5703125" customWidth="1"/>
    <col min="3" max="3" width="24" customWidth="1"/>
    <col min="4" max="4" width="12.7109375" customWidth="1"/>
    <col min="5" max="5" width="12.28515625" customWidth="1"/>
    <col min="6" max="6" width="12.5703125" customWidth="1"/>
    <col min="7" max="7" width="19.7109375" customWidth="1"/>
  </cols>
  <sheetData>
    <row r="1" spans="1:7" s="24" customFormat="1" ht="15" x14ac:dyDescent="0.2">
      <c r="B1" s="801"/>
      <c r="C1" s="801"/>
      <c r="D1" s="250"/>
      <c r="E1" s="801" t="s">
        <v>4682</v>
      </c>
      <c r="F1" s="801"/>
      <c r="G1" s="801"/>
    </row>
    <row r="2" spans="1:7" s="24" customFormat="1" ht="15" x14ac:dyDescent="0.2">
      <c r="B2" s="801"/>
      <c r="C2" s="801"/>
      <c r="D2" s="250"/>
      <c r="E2" s="786" t="s">
        <v>4586</v>
      </c>
      <c r="F2" s="786"/>
      <c r="G2" s="786"/>
    </row>
    <row r="3" spans="1:7" s="24" customFormat="1" ht="15" x14ac:dyDescent="0.2"/>
    <row r="4" spans="1:7" s="24" customFormat="1" ht="15" x14ac:dyDescent="0.2"/>
    <row r="5" spans="1:7" s="24" customFormat="1" ht="15" x14ac:dyDescent="0.2"/>
    <row r="6" spans="1:7" ht="15.75" x14ac:dyDescent="0.25">
      <c r="A6" s="10"/>
      <c r="B6" s="10"/>
    </row>
    <row r="7" spans="1:7" ht="48" customHeight="1" x14ac:dyDescent="0.2">
      <c r="A7" s="823" t="s">
        <v>3830</v>
      </c>
      <c r="B7" s="823"/>
      <c r="C7" s="823"/>
      <c r="D7" s="823"/>
      <c r="E7" s="823"/>
      <c r="F7" s="823"/>
      <c r="G7" s="823"/>
    </row>
    <row r="8" spans="1:7" x14ac:dyDescent="0.2">
      <c r="A8" s="12"/>
      <c r="B8" s="12"/>
    </row>
    <row r="9" spans="1:7" s="53" customFormat="1" ht="54" customHeight="1" x14ac:dyDescent="0.2">
      <c r="A9" s="202" t="s">
        <v>4105</v>
      </c>
      <c r="B9" s="202" t="s">
        <v>121</v>
      </c>
      <c r="C9" s="306" t="s">
        <v>123</v>
      </c>
      <c r="D9" s="291" t="s">
        <v>4369</v>
      </c>
      <c r="E9" s="291" t="s">
        <v>4580</v>
      </c>
      <c r="F9" s="291" t="s">
        <v>4360</v>
      </c>
      <c r="G9" s="304" t="s">
        <v>3827</v>
      </c>
    </row>
    <row r="10" spans="1:7" s="56" customFormat="1" ht="11.25" x14ac:dyDescent="0.2">
      <c r="A10" s="54">
        <v>1</v>
      </c>
      <c r="B10" s="55">
        <v>2</v>
      </c>
      <c r="C10" s="54">
        <v>3</v>
      </c>
      <c r="D10" s="54">
        <v>4</v>
      </c>
      <c r="E10" s="54">
        <v>5</v>
      </c>
      <c r="F10" s="54">
        <v>6</v>
      </c>
      <c r="G10" s="54">
        <v>7</v>
      </c>
    </row>
    <row r="11" spans="1:7" s="59" customFormat="1" ht="48.75" customHeight="1" x14ac:dyDescent="0.2">
      <c r="A11" s="57">
        <v>1</v>
      </c>
      <c r="B11" s="750" t="s">
        <v>4568</v>
      </c>
      <c r="C11" s="60">
        <v>0.52</v>
      </c>
      <c r="D11" s="576">
        <v>1097.6300000000001</v>
      </c>
      <c r="E11" s="134">
        <v>1</v>
      </c>
      <c r="F11" s="205">
        <f>D11*E11</f>
        <v>1097.6300000000001</v>
      </c>
      <c r="G11" s="205">
        <f>C11*F11</f>
        <v>570.76760000000013</v>
      </c>
    </row>
    <row r="12" spans="1:7" s="59" customFormat="1" ht="51" x14ac:dyDescent="0.2">
      <c r="A12" s="57">
        <v>2</v>
      </c>
      <c r="B12" s="750" t="s">
        <v>4566</v>
      </c>
      <c r="C12" s="60">
        <v>0.4</v>
      </c>
      <c r="D12" s="576">
        <v>1097.6300000000001</v>
      </c>
      <c r="E12" s="134">
        <v>1</v>
      </c>
      <c r="F12" s="205">
        <f>D12*E12</f>
        <v>1097.6300000000001</v>
      </c>
      <c r="G12" s="205">
        <f>C12*F12</f>
        <v>439.05200000000008</v>
      </c>
    </row>
    <row r="13" spans="1:7" s="59" customFormat="1" x14ac:dyDescent="0.2">
      <c r="A13" s="57">
        <v>3</v>
      </c>
      <c r="B13" s="58" t="s">
        <v>128</v>
      </c>
      <c r="C13" s="60">
        <v>0.32</v>
      </c>
      <c r="D13" s="576">
        <v>1097.6300000000001</v>
      </c>
      <c r="E13" s="134">
        <v>1</v>
      </c>
      <c r="F13" s="205">
        <f>D13*E13</f>
        <v>1097.6300000000001</v>
      </c>
      <c r="G13" s="205">
        <f t="shared" ref="G13" si="0">C13*F13</f>
        <v>351.24160000000006</v>
      </c>
    </row>
    <row r="15" spans="1:7" s="23" customFormat="1" ht="17.25" customHeight="1" x14ac:dyDescent="0.2">
      <c r="A15" s="21"/>
    </row>
    <row r="16" spans="1:7" s="23" customFormat="1" ht="18" customHeight="1" x14ac:dyDescent="0.2">
      <c r="A16" s="42"/>
      <c r="B16" s="25"/>
    </row>
    <row r="17" spans="1:2" s="23" customFormat="1" ht="15" x14ac:dyDescent="0.2">
      <c r="A17" s="42"/>
      <c r="B17" s="123"/>
    </row>
    <row r="18" spans="1:2" s="23" customFormat="1" ht="15" x14ac:dyDescent="0.2">
      <c r="A18" s="42"/>
      <c r="B18" s="123"/>
    </row>
    <row r="19" spans="1:2" s="23" customFormat="1" ht="15" x14ac:dyDescent="0.2">
      <c r="A19" s="123"/>
    </row>
    <row r="20" spans="1:2" s="23" customFormat="1" ht="15" x14ac:dyDescent="0.2">
      <c r="A20" s="792"/>
      <c r="B20" s="793"/>
    </row>
    <row r="21" spans="1:2" s="23" customFormat="1" ht="15" customHeight="1" x14ac:dyDescent="0.2">
      <c r="A21" s="788"/>
      <c r="B21" s="788"/>
    </row>
    <row r="22" spans="1:2" s="23" customFormat="1" ht="15" x14ac:dyDescent="0.2">
      <c r="A22" s="788"/>
      <c r="B22" s="788"/>
    </row>
    <row r="23" spans="1:2" s="23" customFormat="1" ht="15" x14ac:dyDescent="0.2">
      <c r="A23" s="788"/>
      <c r="B23" s="788"/>
    </row>
    <row r="24" spans="1:2" s="23" customFormat="1" ht="15" x14ac:dyDescent="0.2">
      <c r="A24" s="123"/>
      <c r="B24" s="123"/>
    </row>
  </sheetData>
  <mergeCells count="9">
    <mergeCell ref="A23:B23"/>
    <mergeCell ref="B1:C1"/>
    <mergeCell ref="B2:C2"/>
    <mergeCell ref="A20:B20"/>
    <mergeCell ref="A21:B21"/>
    <mergeCell ref="A22:B22"/>
    <mergeCell ref="A7:G7"/>
    <mergeCell ref="E1:G1"/>
    <mergeCell ref="E2:G2"/>
  </mergeCells>
  <pageMargins left="0.74803149606299213" right="0.35433070866141736" top="0.6692913385826772" bottom="0.98425196850393704" header="0.31496062992125984" footer="0.51181102362204722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18"/>
  <sheetViews>
    <sheetView topLeftCell="B1" workbookViewId="0">
      <selection activeCell="E1" sqref="E1:G1"/>
    </sheetView>
  </sheetViews>
  <sheetFormatPr defaultRowHeight="12.75" x14ac:dyDescent="0.2"/>
  <cols>
    <col min="1" max="1" width="3.7109375" customWidth="1"/>
    <col min="2" max="2" width="35.5703125" customWidth="1"/>
    <col min="3" max="3" width="16.140625" customWidth="1"/>
    <col min="4" max="4" width="12.85546875" customWidth="1"/>
    <col min="5" max="5" width="11.42578125" customWidth="1"/>
    <col min="6" max="6" width="14.85546875" customWidth="1"/>
    <col min="7" max="7" width="20.7109375" customWidth="1"/>
    <col min="9" max="9" width="12" customWidth="1"/>
  </cols>
  <sheetData>
    <row r="1" spans="1:7" s="24" customFormat="1" ht="15" x14ac:dyDescent="0.2">
      <c r="E1" s="801" t="s">
        <v>4571</v>
      </c>
      <c r="F1" s="801"/>
      <c r="G1" s="801"/>
    </row>
    <row r="2" spans="1:7" s="24" customFormat="1" ht="15" x14ac:dyDescent="0.2">
      <c r="E2" s="786" t="s">
        <v>4586</v>
      </c>
      <c r="F2" s="786"/>
      <c r="G2" s="786"/>
    </row>
    <row r="3" spans="1:7" s="24" customFormat="1" ht="15" x14ac:dyDescent="0.2"/>
    <row r="4" spans="1:7" s="24" customFormat="1" ht="15" x14ac:dyDescent="0.2"/>
    <row r="5" spans="1:7" s="24" customFormat="1" ht="15" x14ac:dyDescent="0.2"/>
    <row r="6" spans="1:7" ht="15.75" x14ac:dyDescent="0.25">
      <c r="A6" s="10"/>
      <c r="B6" s="10"/>
    </row>
    <row r="7" spans="1:7" ht="33" customHeight="1" x14ac:dyDescent="0.2">
      <c r="A7" s="11"/>
      <c r="B7" s="823" t="s">
        <v>4533</v>
      </c>
      <c r="C7" s="823"/>
      <c r="D7" s="823"/>
      <c r="E7" s="823"/>
      <c r="F7" s="823"/>
      <c r="G7" s="823"/>
    </row>
    <row r="8" spans="1:7" x14ac:dyDescent="0.2">
      <c r="A8" s="12"/>
      <c r="B8" s="12"/>
    </row>
    <row r="9" spans="1:7" s="53" customFormat="1" ht="31.15" customHeight="1" x14ac:dyDescent="0.2">
      <c r="A9" s="202" t="s">
        <v>4105</v>
      </c>
      <c r="B9" s="202" t="s">
        <v>4066</v>
      </c>
      <c r="C9" s="306" t="s">
        <v>4009</v>
      </c>
      <c r="D9" s="291" t="s">
        <v>4369</v>
      </c>
      <c r="E9" s="291" t="s">
        <v>4580</v>
      </c>
      <c r="F9" s="291" t="s">
        <v>4360</v>
      </c>
      <c r="G9" s="304" t="s">
        <v>3967</v>
      </c>
    </row>
    <row r="10" spans="1:7" s="56" customFormat="1" ht="11.25" x14ac:dyDescent="0.2">
      <c r="A10" s="54">
        <v>1</v>
      </c>
      <c r="B10" s="55">
        <v>2</v>
      </c>
      <c r="C10" s="54">
        <v>3</v>
      </c>
      <c r="D10" s="55">
        <v>4</v>
      </c>
      <c r="E10" s="54">
        <v>5</v>
      </c>
      <c r="F10" s="55">
        <v>6</v>
      </c>
      <c r="G10" s="54">
        <v>7</v>
      </c>
    </row>
    <row r="11" spans="1:7" s="59" customFormat="1" ht="33.75" customHeight="1" x14ac:dyDescent="0.2">
      <c r="A11" s="57">
        <v>1</v>
      </c>
      <c r="B11" s="213" t="s">
        <v>3848</v>
      </c>
      <c r="C11" s="60">
        <v>1</v>
      </c>
      <c r="D11" s="577">
        <v>14573508</v>
      </c>
      <c r="E11" s="205">
        <v>1.0500069999999999</v>
      </c>
      <c r="F11" s="205">
        <f>D11*E11</f>
        <v>15302285.414555999</v>
      </c>
      <c r="G11" s="205">
        <f>C11*F11</f>
        <v>15302285.414555999</v>
      </c>
    </row>
    <row r="12" spans="1:7" s="59" customFormat="1" ht="33.75" customHeight="1" x14ac:dyDescent="0.2">
      <c r="A12" s="219"/>
      <c r="B12" s="220"/>
      <c r="C12" s="221"/>
      <c r="D12" s="221"/>
      <c r="E12" s="221"/>
      <c r="F12" s="222"/>
      <c r="G12" s="222"/>
    </row>
    <row r="13" spans="1:7" x14ac:dyDescent="0.2">
      <c r="A13" s="38"/>
      <c r="B13" s="38"/>
      <c r="C13" s="38"/>
      <c r="D13" s="38"/>
      <c r="E13" s="38"/>
      <c r="G13" s="59"/>
    </row>
    <row r="14" spans="1:7" ht="15" hidden="1" x14ac:dyDescent="0.2">
      <c r="B14" s="791" t="s">
        <v>3847</v>
      </c>
      <c r="C14" s="791"/>
      <c r="D14" s="791"/>
      <c r="E14" s="791"/>
      <c r="F14" s="791"/>
    </row>
    <row r="15" spans="1:7" s="23" customFormat="1" ht="15" customHeight="1" x14ac:dyDescent="0.2">
      <c r="A15" s="788"/>
      <c r="B15" s="788"/>
    </row>
    <row r="16" spans="1:7" s="23" customFormat="1" ht="15" x14ac:dyDescent="0.2">
      <c r="A16" s="788"/>
      <c r="B16" s="788"/>
    </row>
    <row r="17" spans="1:2" s="23" customFormat="1" ht="15" x14ac:dyDescent="0.2">
      <c r="A17" s="788"/>
      <c r="B17" s="788"/>
    </row>
    <row r="18" spans="1:2" s="23" customFormat="1" ht="15" x14ac:dyDescent="0.2">
      <c r="A18" s="206"/>
      <c r="B18" s="206"/>
    </row>
  </sheetData>
  <mergeCells count="7">
    <mergeCell ref="A16:B16"/>
    <mergeCell ref="A17:B17"/>
    <mergeCell ref="E1:G1"/>
    <mergeCell ref="E2:G2"/>
    <mergeCell ref="B7:G7"/>
    <mergeCell ref="B14:F14"/>
    <mergeCell ref="A15:B1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23"/>
  <sheetViews>
    <sheetView view="pageBreakPreview" zoomScale="60" workbookViewId="0">
      <selection activeCell="K37" sqref="K37"/>
    </sheetView>
  </sheetViews>
  <sheetFormatPr defaultRowHeight="12.75" x14ac:dyDescent="0.2"/>
  <cols>
    <col min="1" max="1" width="3.7109375" customWidth="1"/>
    <col min="2" max="2" width="39.5703125" customWidth="1"/>
    <col min="3" max="3" width="24" customWidth="1"/>
    <col min="4" max="4" width="14.85546875" customWidth="1"/>
    <col min="5" max="5" width="13.7109375" customWidth="1"/>
    <col min="6" max="6" width="11" customWidth="1"/>
    <col min="7" max="7" width="13.140625" customWidth="1"/>
  </cols>
  <sheetData>
    <row r="1" spans="1:8" x14ac:dyDescent="0.2">
      <c r="D1" s="835"/>
      <c r="E1" s="835"/>
      <c r="F1" s="835"/>
      <c r="G1" s="835"/>
    </row>
    <row r="2" spans="1:8" s="297" customFormat="1" ht="15" x14ac:dyDescent="0.2">
      <c r="B2" s="796"/>
      <c r="C2" s="796"/>
      <c r="D2" s="836" t="s">
        <v>4683</v>
      </c>
      <c r="E2" s="836"/>
      <c r="F2" s="836"/>
      <c r="G2" s="836"/>
    </row>
    <row r="3" spans="1:8" s="24" customFormat="1" ht="15" x14ac:dyDescent="0.2">
      <c r="B3" s="801"/>
      <c r="C3" s="801"/>
      <c r="D3" s="837" t="s">
        <v>4594</v>
      </c>
      <c r="E3" s="837"/>
      <c r="F3" s="837"/>
      <c r="G3" s="837"/>
      <c r="H3" s="837"/>
    </row>
    <row r="4" spans="1:8" s="24" customFormat="1" ht="15" x14ac:dyDescent="0.2"/>
    <row r="5" spans="1:8" s="24" customFormat="1" ht="15" x14ac:dyDescent="0.2"/>
    <row r="6" spans="1:8" s="24" customFormat="1" ht="15" x14ac:dyDescent="0.2"/>
    <row r="7" spans="1:8" ht="15.75" x14ac:dyDescent="0.25">
      <c r="A7" s="10"/>
      <c r="B7" s="10"/>
    </row>
    <row r="8" spans="1:8" ht="48" customHeight="1" x14ac:dyDescent="0.2">
      <c r="A8" s="11"/>
      <c r="B8" s="823" t="s">
        <v>4591</v>
      </c>
      <c r="C8" s="823"/>
      <c r="D8" s="823"/>
      <c r="E8" s="823"/>
      <c r="F8" s="823"/>
    </row>
    <row r="9" spans="1:8" x14ac:dyDescent="0.2">
      <c r="A9" s="12"/>
      <c r="B9" s="12"/>
    </row>
    <row r="10" spans="1:8" s="53" customFormat="1" ht="54" customHeight="1" x14ac:dyDescent="0.2">
      <c r="A10" s="51" t="s">
        <v>122</v>
      </c>
      <c r="B10" s="51" t="s">
        <v>121</v>
      </c>
      <c r="C10" s="51" t="s">
        <v>4593</v>
      </c>
      <c r="D10" s="51" t="s">
        <v>4369</v>
      </c>
      <c r="E10" s="51" t="s">
        <v>4580</v>
      </c>
      <c r="F10" s="51" t="s">
        <v>4360</v>
      </c>
      <c r="G10" s="51" t="s">
        <v>3967</v>
      </c>
    </row>
    <row r="11" spans="1:8" s="56" customFormat="1" ht="11.25" x14ac:dyDescent="0.2">
      <c r="A11" s="54">
        <v>1</v>
      </c>
      <c r="B11" s="55">
        <v>2</v>
      </c>
      <c r="C11" s="54">
        <v>3</v>
      </c>
      <c r="D11" s="54">
        <v>3</v>
      </c>
      <c r="E11" s="54">
        <v>3</v>
      </c>
      <c r="F11" s="54">
        <v>3</v>
      </c>
      <c r="G11" s="54">
        <v>3</v>
      </c>
    </row>
    <row r="12" spans="1:8" s="59" customFormat="1" ht="24.6" customHeight="1" x14ac:dyDescent="0.2">
      <c r="A12" s="57">
        <v>1</v>
      </c>
      <c r="B12" s="58" t="s">
        <v>4592</v>
      </c>
      <c r="C12" s="60">
        <v>1</v>
      </c>
      <c r="D12" s="134">
        <v>6912.5</v>
      </c>
      <c r="E12" s="60">
        <v>1</v>
      </c>
      <c r="F12" s="134">
        <f>D12</f>
        <v>6912.5</v>
      </c>
      <c r="G12" s="134">
        <f>C12*F12</f>
        <v>6912.5</v>
      </c>
    </row>
    <row r="13" spans="1:8" x14ac:dyDescent="0.2">
      <c r="A13" s="38"/>
      <c r="B13" s="38"/>
      <c r="C13" s="38"/>
    </row>
    <row r="14" spans="1:8" s="23" customFormat="1" ht="17.25" customHeight="1" x14ac:dyDescent="0.2">
      <c r="A14" s="21"/>
    </row>
    <row r="15" spans="1:8" s="23" customFormat="1" ht="18" customHeight="1" x14ac:dyDescent="0.2">
      <c r="A15" s="42"/>
      <c r="B15" s="590"/>
    </row>
    <row r="16" spans="1:8" s="23" customFormat="1" ht="15" x14ac:dyDescent="0.2">
      <c r="A16" s="42"/>
      <c r="B16" s="586"/>
    </row>
    <row r="17" spans="1:2" s="23" customFormat="1" ht="15" x14ac:dyDescent="0.2">
      <c r="A17" s="42"/>
      <c r="B17" s="586"/>
    </row>
    <row r="18" spans="1:2" s="23" customFormat="1" ht="15" x14ac:dyDescent="0.2">
      <c r="A18" s="586"/>
    </row>
    <row r="19" spans="1:2" s="23" customFormat="1" ht="15" x14ac:dyDescent="0.2">
      <c r="A19" s="792"/>
      <c r="B19" s="793"/>
    </row>
    <row r="20" spans="1:2" s="23" customFormat="1" ht="15" customHeight="1" x14ac:dyDescent="0.2">
      <c r="A20" s="788"/>
      <c r="B20" s="788"/>
    </row>
    <row r="21" spans="1:2" s="23" customFormat="1" ht="15" x14ac:dyDescent="0.2">
      <c r="A21" s="788"/>
      <c r="B21" s="788"/>
    </row>
    <row r="22" spans="1:2" s="23" customFormat="1" ht="15" x14ac:dyDescent="0.2">
      <c r="A22" s="788"/>
      <c r="B22" s="788"/>
    </row>
    <row r="23" spans="1:2" s="23" customFormat="1" ht="15" x14ac:dyDescent="0.2">
      <c r="A23" s="586"/>
      <c r="B23" s="586"/>
    </row>
  </sheetData>
  <mergeCells count="10">
    <mergeCell ref="D1:G1"/>
    <mergeCell ref="D2:G2"/>
    <mergeCell ref="B8:F8"/>
    <mergeCell ref="A21:B21"/>
    <mergeCell ref="D3:H3"/>
    <mergeCell ref="A22:B22"/>
    <mergeCell ref="B2:C2"/>
    <mergeCell ref="B3:C3"/>
    <mergeCell ref="A19:B19"/>
    <mergeCell ref="A20:B20"/>
  </mergeCells>
  <pageMargins left="0.74803149606299213" right="0.35433070866141736" top="0.15748031496062992" bottom="0.98425196850393704" header="0.31496062992125984" footer="0.51181102362204722"/>
  <pageSetup paperSize="9" scale="85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18"/>
  <sheetViews>
    <sheetView view="pageBreakPreview" zoomScale="110" zoomScaleSheetLayoutView="110" workbookViewId="0">
      <selection activeCell="E1" sqref="E1:G1"/>
    </sheetView>
  </sheetViews>
  <sheetFormatPr defaultRowHeight="12.75" x14ac:dyDescent="0.2"/>
  <cols>
    <col min="1" max="1" width="4.85546875" customWidth="1"/>
    <col min="2" max="2" width="39.5703125" customWidth="1"/>
    <col min="3" max="4" width="14.28515625" customWidth="1"/>
    <col min="5" max="5" width="12.28515625" customWidth="1"/>
    <col min="6" max="6" width="14.85546875" customWidth="1"/>
    <col min="7" max="7" width="20.7109375" customWidth="1"/>
    <col min="9" max="9" width="16.140625" customWidth="1"/>
  </cols>
  <sheetData>
    <row r="1" spans="1:8" s="24" customFormat="1" ht="15" x14ac:dyDescent="0.2">
      <c r="E1" s="801" t="s">
        <v>4684</v>
      </c>
      <c r="F1" s="801"/>
      <c r="G1" s="801"/>
      <c r="H1" s="295"/>
    </row>
    <row r="2" spans="1:8" s="24" customFormat="1" ht="15" x14ac:dyDescent="0.2">
      <c r="E2" s="786" t="s">
        <v>4586</v>
      </c>
      <c r="F2" s="786"/>
      <c r="G2" s="786"/>
      <c r="H2" s="295"/>
    </row>
    <row r="3" spans="1:8" s="24" customFormat="1" ht="15" x14ac:dyDescent="0.2"/>
    <row r="4" spans="1:8" s="24" customFormat="1" ht="15" x14ac:dyDescent="0.2"/>
    <row r="5" spans="1:8" s="24" customFormat="1" ht="15" x14ac:dyDescent="0.2"/>
    <row r="6" spans="1:8" ht="15.75" x14ac:dyDescent="0.25">
      <c r="A6" s="10"/>
      <c r="B6" s="10"/>
    </row>
    <row r="7" spans="1:8" ht="31.5" customHeight="1" x14ac:dyDescent="0.2">
      <c r="A7" s="11"/>
      <c r="B7" s="823" t="s">
        <v>4102</v>
      </c>
      <c r="C7" s="823"/>
      <c r="D7" s="823"/>
      <c r="E7" s="823"/>
      <c r="F7" s="823"/>
      <c r="G7" s="823"/>
    </row>
    <row r="8" spans="1:8" x14ac:dyDescent="0.2">
      <c r="A8" s="12"/>
      <c r="B8" s="12"/>
    </row>
    <row r="10" spans="1:8" s="23" customFormat="1" ht="17.25" customHeight="1" x14ac:dyDescent="0.2">
      <c r="A10" s="21"/>
    </row>
    <row r="11" spans="1:8" s="23" customFormat="1" ht="45" x14ac:dyDescent="0.2">
      <c r="A11" s="237" t="s">
        <v>4105</v>
      </c>
      <c r="B11" s="237" t="s">
        <v>4037</v>
      </c>
      <c r="C11" s="236" t="s">
        <v>4103</v>
      </c>
      <c r="D11" s="291" t="s">
        <v>4369</v>
      </c>
      <c r="E11" s="291" t="s">
        <v>4580</v>
      </c>
      <c r="F11" s="291" t="s">
        <v>4360</v>
      </c>
      <c r="G11" s="236" t="s">
        <v>4104</v>
      </c>
    </row>
    <row r="12" spans="1:8" s="23" customFormat="1" ht="15.75" x14ac:dyDescent="0.25">
      <c r="A12" s="238">
        <v>1</v>
      </c>
      <c r="B12" s="234" t="s">
        <v>4101</v>
      </c>
      <c r="C12" s="235">
        <v>1</v>
      </c>
      <c r="D12" s="579">
        <v>3.4</v>
      </c>
      <c r="E12" s="235">
        <v>1</v>
      </c>
      <c r="F12" s="248">
        <f>D12*E12</f>
        <v>3.4</v>
      </c>
      <c r="G12" s="235">
        <f>C12*F12*12</f>
        <v>40.799999999999997</v>
      </c>
    </row>
    <row r="13" spans="1:8" s="23" customFormat="1" ht="15.75" x14ac:dyDescent="0.25">
      <c r="A13" s="238">
        <v>2</v>
      </c>
      <c r="B13" s="234" t="s">
        <v>4106</v>
      </c>
      <c r="C13" s="235">
        <v>1</v>
      </c>
      <c r="D13" s="579">
        <v>4.8</v>
      </c>
      <c r="E13" s="235">
        <v>1</v>
      </c>
      <c r="F13" s="248">
        <f>D13*E13</f>
        <v>4.8</v>
      </c>
      <c r="G13" s="235">
        <f>C13*F13*12</f>
        <v>57.599999999999994</v>
      </c>
    </row>
    <row r="14" spans="1:8" s="23" customFormat="1" ht="15.75" x14ac:dyDescent="0.25">
      <c r="A14" s="238">
        <v>3</v>
      </c>
      <c r="B14" s="234" t="s">
        <v>4111</v>
      </c>
      <c r="C14" s="235">
        <v>1</v>
      </c>
      <c r="D14" s="579">
        <v>3.2</v>
      </c>
      <c r="E14" s="235">
        <v>1</v>
      </c>
      <c r="F14" s="248">
        <f>D14*E14</f>
        <v>3.2</v>
      </c>
      <c r="G14" s="235">
        <f>C14*F14*2</f>
        <v>6.4</v>
      </c>
    </row>
    <row r="15" spans="1:8" s="23" customFormat="1" ht="15.75" x14ac:dyDescent="0.25">
      <c r="A15" s="238">
        <v>4</v>
      </c>
      <c r="B15" s="580" t="s">
        <v>4301</v>
      </c>
      <c r="C15" s="235">
        <v>1</v>
      </c>
      <c r="D15" s="579">
        <v>3.2</v>
      </c>
      <c r="E15" s="235">
        <v>1</v>
      </c>
      <c r="F15" s="248">
        <f>D15*E15</f>
        <v>3.2</v>
      </c>
      <c r="G15" s="235">
        <f>C15*F15*12</f>
        <v>38.400000000000006</v>
      </c>
    </row>
    <row r="16" spans="1:8" s="23" customFormat="1" ht="15.75" x14ac:dyDescent="0.25">
      <c r="A16" s="788"/>
      <c r="B16" s="788"/>
      <c r="F16" s="241" t="s">
        <v>4059</v>
      </c>
      <c r="G16" s="441">
        <f>SUM(G12:G15)</f>
        <v>143.19999999999999</v>
      </c>
    </row>
    <row r="17" spans="1:6" s="23" customFormat="1" ht="15" x14ac:dyDescent="0.2">
      <c r="A17" s="210"/>
      <c r="B17" s="210"/>
    </row>
    <row r="18" spans="1:6" ht="15" hidden="1" x14ac:dyDescent="0.2">
      <c r="B18" s="791" t="s">
        <v>3847</v>
      </c>
      <c r="C18" s="791"/>
      <c r="D18" s="791"/>
      <c r="E18" s="791"/>
      <c r="F18" s="791"/>
    </row>
  </sheetData>
  <mergeCells count="5">
    <mergeCell ref="B7:G7"/>
    <mergeCell ref="B18:F18"/>
    <mergeCell ref="A16:B16"/>
    <mergeCell ref="E1:G1"/>
    <mergeCell ref="E2:G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opLeftCell="A19" workbookViewId="0">
      <selection activeCell="J23" sqref="J23"/>
    </sheetView>
  </sheetViews>
  <sheetFormatPr defaultRowHeight="12.75" x14ac:dyDescent="0.2"/>
  <cols>
    <col min="3" max="3" width="21.5703125" customWidth="1"/>
    <col min="4" max="4" width="6.85546875" customWidth="1"/>
    <col min="5" max="5" width="14.7109375" customWidth="1"/>
    <col min="6" max="6" width="14.85546875" customWidth="1"/>
  </cols>
  <sheetData>
    <row r="1" spans="1:7" s="24" customFormat="1" ht="15" x14ac:dyDescent="0.2">
      <c r="E1" s="141" t="s">
        <v>69</v>
      </c>
      <c r="G1" s="24">
        <v>5</v>
      </c>
    </row>
    <row r="2" spans="1:7" s="24" customFormat="1" ht="15" x14ac:dyDescent="0.2">
      <c r="E2" s="24" t="s">
        <v>68</v>
      </c>
    </row>
    <row r="3" spans="1:7" x14ac:dyDescent="0.2">
      <c r="A3" s="1"/>
      <c r="B3" s="1"/>
      <c r="C3" s="1"/>
      <c r="D3" s="1"/>
      <c r="E3" s="1"/>
    </row>
    <row r="4" spans="1:7" ht="42.75" customHeight="1" x14ac:dyDescent="0.2">
      <c r="A4" s="787" t="s">
        <v>70</v>
      </c>
      <c r="B4" s="787"/>
      <c r="C4" s="787"/>
      <c r="D4" s="787"/>
      <c r="E4" s="787"/>
      <c r="F4" s="787"/>
    </row>
    <row r="5" spans="1:7" ht="19.5" customHeight="1" x14ac:dyDescent="0.2">
      <c r="B5" s="23"/>
      <c r="C5" s="23"/>
      <c r="D5" s="23"/>
      <c r="E5" s="23"/>
      <c r="F5" s="25"/>
    </row>
    <row r="6" spans="1:7" ht="33" customHeight="1" x14ac:dyDescent="0.2">
      <c r="A6" s="789" t="s">
        <v>0</v>
      </c>
      <c r="B6" s="789"/>
      <c r="C6" s="789"/>
      <c r="D6" s="789"/>
      <c r="E6" s="790" t="s">
        <v>63</v>
      </c>
      <c r="F6" s="790"/>
    </row>
    <row r="7" spans="1:7" s="25" customFormat="1" ht="80.45" customHeight="1" x14ac:dyDescent="0.2">
      <c r="A7" s="789"/>
      <c r="B7" s="789"/>
      <c r="C7" s="789"/>
      <c r="D7" s="789"/>
      <c r="E7" s="26" t="s">
        <v>1</v>
      </c>
      <c r="F7" s="26" t="s">
        <v>9</v>
      </c>
    </row>
    <row r="8" spans="1:7" x14ac:dyDescent="0.2">
      <c r="A8" s="2" t="s">
        <v>104</v>
      </c>
      <c r="B8" s="3"/>
      <c r="C8" s="3"/>
      <c r="D8" s="4"/>
      <c r="E8" s="39">
        <v>60</v>
      </c>
      <c r="F8" s="39">
        <v>80</v>
      </c>
    </row>
    <row r="9" spans="1:7" x14ac:dyDescent="0.2">
      <c r="A9" s="2" t="s">
        <v>105</v>
      </c>
      <c r="B9" s="3"/>
      <c r="C9" s="3"/>
      <c r="D9" s="4"/>
      <c r="E9" s="39">
        <v>40</v>
      </c>
      <c r="F9" s="39">
        <v>50</v>
      </c>
    </row>
    <row r="10" spans="1:7" x14ac:dyDescent="0.2">
      <c r="A10" s="2" t="s">
        <v>106</v>
      </c>
      <c r="B10" s="3"/>
      <c r="C10" s="3"/>
      <c r="D10" s="4"/>
      <c r="E10" s="39">
        <v>25</v>
      </c>
      <c r="F10" s="39">
        <v>29</v>
      </c>
    </row>
    <row r="11" spans="1:7" x14ac:dyDescent="0.2">
      <c r="A11" s="2" t="s">
        <v>103</v>
      </c>
      <c r="B11" s="3"/>
      <c r="C11" s="3"/>
      <c r="D11" s="4"/>
      <c r="E11" s="39">
        <v>2</v>
      </c>
      <c r="F11" s="39">
        <v>3</v>
      </c>
    </row>
    <row r="12" spans="1:7" x14ac:dyDescent="0.2">
      <c r="A12" s="2" t="s">
        <v>102</v>
      </c>
      <c r="B12" s="3"/>
      <c r="C12" s="3"/>
      <c r="D12" s="4"/>
      <c r="E12" s="39">
        <v>30</v>
      </c>
      <c r="F12" s="39">
        <v>43</v>
      </c>
    </row>
    <row r="13" spans="1:7" x14ac:dyDescent="0.2">
      <c r="A13" s="2" t="s">
        <v>101</v>
      </c>
      <c r="B13" s="3"/>
      <c r="C13" s="3"/>
      <c r="D13" s="4"/>
      <c r="E13" s="39">
        <v>8</v>
      </c>
      <c r="F13" s="39">
        <v>12</v>
      </c>
    </row>
    <row r="14" spans="1:7" x14ac:dyDescent="0.2">
      <c r="A14" s="2" t="s">
        <v>2</v>
      </c>
      <c r="B14" s="3"/>
      <c r="C14" s="3"/>
      <c r="D14" s="4"/>
      <c r="E14" s="39">
        <v>186.17</v>
      </c>
      <c r="F14" s="39">
        <v>217.33</v>
      </c>
    </row>
    <row r="15" spans="1:7" x14ac:dyDescent="0.2">
      <c r="A15" s="2" t="s">
        <v>3</v>
      </c>
      <c r="B15" s="3"/>
      <c r="C15" s="3"/>
      <c r="D15" s="4"/>
      <c r="E15" s="39">
        <v>256</v>
      </c>
      <c r="F15" s="39">
        <v>325</v>
      </c>
    </row>
    <row r="16" spans="1:7" x14ac:dyDescent="0.2">
      <c r="A16" s="2" t="s">
        <v>107</v>
      </c>
      <c r="B16" s="3"/>
      <c r="C16" s="3"/>
      <c r="D16" s="4"/>
      <c r="E16" s="39">
        <v>108</v>
      </c>
      <c r="F16" s="39">
        <v>114</v>
      </c>
    </row>
    <row r="17" spans="1:6" x14ac:dyDescent="0.2">
      <c r="A17" s="2" t="s">
        <v>108</v>
      </c>
      <c r="B17" s="3"/>
      <c r="C17" s="3"/>
      <c r="D17" s="4"/>
      <c r="E17" s="39">
        <v>9</v>
      </c>
      <c r="F17" s="39">
        <v>11</v>
      </c>
    </row>
    <row r="18" spans="1:6" x14ac:dyDescent="0.2">
      <c r="A18" s="2" t="s">
        <v>4</v>
      </c>
      <c r="B18" s="3"/>
      <c r="C18" s="3"/>
      <c r="D18" s="4"/>
      <c r="E18" s="39">
        <v>7</v>
      </c>
      <c r="F18" s="39">
        <v>20</v>
      </c>
    </row>
    <row r="19" spans="1:6" x14ac:dyDescent="0.2">
      <c r="A19" s="2" t="s">
        <v>5</v>
      </c>
      <c r="B19" s="3"/>
      <c r="C19" s="3"/>
      <c r="D19" s="4"/>
      <c r="E19" s="39">
        <v>37</v>
      </c>
      <c r="F19" s="39">
        <v>47</v>
      </c>
    </row>
    <row r="20" spans="1:6" x14ac:dyDescent="0.2">
      <c r="A20" s="2" t="s">
        <v>6</v>
      </c>
      <c r="B20" s="3"/>
      <c r="C20" s="3"/>
      <c r="D20" s="4"/>
      <c r="E20" s="39">
        <v>18</v>
      </c>
      <c r="F20" s="39">
        <v>21</v>
      </c>
    </row>
    <row r="21" spans="1:6" x14ac:dyDescent="0.2">
      <c r="A21" s="2" t="s">
        <v>7</v>
      </c>
      <c r="B21" s="3"/>
      <c r="C21" s="3"/>
      <c r="D21" s="4"/>
      <c r="E21" s="39">
        <v>9</v>
      </c>
      <c r="F21" s="39">
        <v>11</v>
      </c>
    </row>
    <row r="22" spans="1:6" x14ac:dyDescent="0.2">
      <c r="A22" s="2" t="s">
        <v>109</v>
      </c>
      <c r="B22" s="3"/>
      <c r="C22" s="3"/>
      <c r="D22" s="4"/>
      <c r="E22" s="39">
        <v>0.5</v>
      </c>
      <c r="F22" s="39">
        <v>0.6</v>
      </c>
    </row>
    <row r="23" spans="1:6" x14ac:dyDescent="0.2">
      <c r="A23" s="2" t="s">
        <v>110</v>
      </c>
      <c r="B23" s="3"/>
      <c r="C23" s="3"/>
      <c r="D23" s="4"/>
      <c r="E23" s="39">
        <v>390</v>
      </c>
      <c r="F23" s="39">
        <v>450</v>
      </c>
    </row>
    <row r="24" spans="1:6" x14ac:dyDescent="0.2">
      <c r="A24" s="2" t="s">
        <v>111</v>
      </c>
      <c r="B24" s="3"/>
      <c r="C24" s="3"/>
      <c r="D24" s="4"/>
      <c r="E24" s="39">
        <v>30</v>
      </c>
      <c r="F24" s="39">
        <v>40</v>
      </c>
    </row>
    <row r="25" spans="1:6" x14ac:dyDescent="0.2">
      <c r="A25" s="2" t="s">
        <v>96</v>
      </c>
      <c r="B25" s="3"/>
      <c r="C25" s="3"/>
      <c r="D25" s="4"/>
      <c r="E25" s="39">
        <v>55</v>
      </c>
      <c r="F25" s="39">
        <v>60.5</v>
      </c>
    </row>
    <row r="26" spans="1:6" x14ac:dyDescent="0.2">
      <c r="A26" s="2" t="s">
        <v>97</v>
      </c>
      <c r="B26" s="3"/>
      <c r="C26" s="3"/>
      <c r="D26" s="4"/>
      <c r="E26" s="39">
        <v>68</v>
      </c>
      <c r="F26" s="39">
        <v>75</v>
      </c>
    </row>
    <row r="27" spans="1:6" x14ac:dyDescent="0.2">
      <c r="A27" s="2" t="s">
        <v>98</v>
      </c>
      <c r="B27" s="3"/>
      <c r="C27" s="3"/>
      <c r="D27" s="4"/>
      <c r="E27" s="39">
        <v>23</v>
      </c>
      <c r="F27" s="39">
        <v>27</v>
      </c>
    </row>
    <row r="28" spans="1:6" x14ac:dyDescent="0.2">
      <c r="A28" s="2" t="s">
        <v>99</v>
      </c>
      <c r="B28" s="3"/>
      <c r="C28" s="3"/>
      <c r="D28" s="4"/>
      <c r="E28" s="39">
        <v>22</v>
      </c>
      <c r="F28" s="39">
        <v>26</v>
      </c>
    </row>
    <row r="29" spans="1:6" x14ac:dyDescent="0.2">
      <c r="A29" s="2" t="s">
        <v>112</v>
      </c>
      <c r="B29" s="3"/>
      <c r="C29" s="3"/>
      <c r="D29" s="4"/>
      <c r="E29" s="39">
        <v>34</v>
      </c>
      <c r="F29" s="39">
        <v>39</v>
      </c>
    </row>
    <row r="30" spans="1:6" x14ac:dyDescent="0.2">
      <c r="A30" s="2" t="s">
        <v>100</v>
      </c>
      <c r="B30" s="3"/>
      <c r="C30" s="3"/>
      <c r="D30" s="4"/>
      <c r="E30" s="39">
        <v>0</v>
      </c>
      <c r="F30" s="39">
        <v>7</v>
      </c>
    </row>
    <row r="31" spans="1:6" x14ac:dyDescent="0.2">
      <c r="A31" s="2" t="s">
        <v>113</v>
      </c>
      <c r="B31" s="3"/>
      <c r="C31" s="3"/>
      <c r="D31" s="4"/>
      <c r="E31" s="39">
        <v>9</v>
      </c>
      <c r="F31" s="39">
        <v>11</v>
      </c>
    </row>
    <row r="32" spans="1:6" x14ac:dyDescent="0.2">
      <c r="A32" s="2" t="s">
        <v>114</v>
      </c>
      <c r="B32" s="3"/>
      <c r="C32" s="3"/>
      <c r="D32" s="4"/>
      <c r="E32" s="39">
        <v>4.3</v>
      </c>
      <c r="F32" s="39">
        <v>6.4</v>
      </c>
    </row>
    <row r="33" spans="1:6" x14ac:dyDescent="0.2">
      <c r="A33" s="2" t="s">
        <v>115</v>
      </c>
      <c r="B33" s="3"/>
      <c r="C33" s="3"/>
      <c r="D33" s="4"/>
      <c r="E33" s="39">
        <v>0.5</v>
      </c>
      <c r="F33" s="39">
        <v>0.6</v>
      </c>
    </row>
    <row r="34" spans="1:6" x14ac:dyDescent="0.2">
      <c r="A34" s="2" t="s">
        <v>8</v>
      </c>
      <c r="B34" s="3"/>
      <c r="C34" s="3"/>
      <c r="D34" s="4"/>
      <c r="E34" s="39">
        <v>1</v>
      </c>
      <c r="F34" s="39">
        <v>1.2</v>
      </c>
    </row>
    <row r="35" spans="1:6" x14ac:dyDescent="0.2">
      <c r="A35" s="2" t="s">
        <v>116</v>
      </c>
      <c r="B35" s="3"/>
      <c r="C35" s="3"/>
      <c r="D35" s="4"/>
      <c r="E35" s="39">
        <v>0.5</v>
      </c>
      <c r="F35" s="39">
        <v>0.6</v>
      </c>
    </row>
    <row r="36" spans="1:6" x14ac:dyDescent="0.2">
      <c r="A36" s="2" t="s">
        <v>117</v>
      </c>
      <c r="B36" s="3"/>
      <c r="C36" s="3"/>
      <c r="D36" s="4"/>
      <c r="E36" s="39">
        <v>4</v>
      </c>
      <c r="F36" s="39">
        <v>6</v>
      </c>
    </row>
    <row r="37" spans="1:6" x14ac:dyDescent="0.2">
      <c r="A37" s="2" t="s">
        <v>118</v>
      </c>
      <c r="B37" s="3"/>
      <c r="C37" s="3"/>
      <c r="D37" s="4"/>
      <c r="E37" s="39">
        <v>0.4</v>
      </c>
      <c r="F37" s="39">
        <v>0.5</v>
      </c>
    </row>
    <row r="38" spans="1:6" x14ac:dyDescent="0.2">
      <c r="A38" s="2" t="s">
        <v>119</v>
      </c>
      <c r="B38" s="3"/>
      <c r="C38" s="3"/>
      <c r="D38" s="4"/>
      <c r="E38" s="39">
        <v>100</v>
      </c>
      <c r="F38" s="39">
        <v>100</v>
      </c>
    </row>
    <row r="39" spans="1:6" x14ac:dyDescent="0.2">
      <c r="A39" s="2" t="s">
        <v>120</v>
      </c>
      <c r="B39" s="3"/>
      <c r="C39" s="3"/>
      <c r="D39" s="4"/>
      <c r="E39" s="39">
        <v>0</v>
      </c>
      <c r="F39" s="39">
        <v>50</v>
      </c>
    </row>
    <row r="40" spans="1:6" s="23" customFormat="1" ht="17.25" hidden="1" customHeight="1" x14ac:dyDescent="0.2">
      <c r="A40" s="21" t="s">
        <v>73</v>
      </c>
      <c r="C40" s="22"/>
      <c r="D40" s="22"/>
      <c r="E40" s="21" t="s">
        <v>73</v>
      </c>
    </row>
    <row r="41" spans="1:6" s="23" customFormat="1" ht="18" hidden="1" customHeight="1" x14ac:dyDescent="0.2">
      <c r="A41" s="42" t="s">
        <v>74</v>
      </c>
      <c r="B41" s="25"/>
      <c r="C41" s="25"/>
      <c r="D41" s="22"/>
      <c r="E41" s="42" t="s">
        <v>77</v>
      </c>
    </row>
    <row r="42" spans="1:6" s="23" customFormat="1" ht="15" hidden="1" x14ac:dyDescent="0.2">
      <c r="A42" s="42" t="s">
        <v>75</v>
      </c>
      <c r="B42" s="22"/>
      <c r="C42" s="22"/>
      <c r="D42" s="22"/>
      <c r="E42" s="42" t="s">
        <v>75</v>
      </c>
    </row>
    <row r="43" spans="1:6" s="23" customFormat="1" ht="15" hidden="1" x14ac:dyDescent="0.2">
      <c r="A43" s="42" t="s">
        <v>76</v>
      </c>
      <c r="B43" s="22"/>
      <c r="C43" s="22"/>
      <c r="D43" s="22"/>
      <c r="E43" s="42" t="s">
        <v>78</v>
      </c>
    </row>
    <row r="44" spans="1:6" s="23" customFormat="1" ht="15" hidden="1" customHeight="1" x14ac:dyDescent="0.2">
      <c r="A44" s="22"/>
      <c r="C44" s="22"/>
      <c r="D44" s="22"/>
      <c r="E44" s="22"/>
    </row>
    <row r="45" spans="1:6" s="23" customFormat="1" ht="15" customHeight="1" x14ac:dyDescent="0.2">
      <c r="A45" s="792"/>
      <c r="B45" s="793"/>
      <c r="C45" s="793"/>
      <c r="D45" s="22"/>
      <c r="E45" s="22"/>
    </row>
    <row r="46" spans="1:6" s="23" customFormat="1" ht="15" customHeight="1" x14ac:dyDescent="0.2">
      <c r="A46" s="791" t="s">
        <v>3847</v>
      </c>
      <c r="B46" s="791"/>
      <c r="C46" s="791"/>
      <c r="D46" s="22"/>
      <c r="E46" s="22"/>
    </row>
    <row r="47" spans="1:6" s="23" customFormat="1" ht="15" customHeight="1" x14ac:dyDescent="0.2">
      <c r="A47" s="788"/>
      <c r="B47" s="788"/>
      <c r="C47" s="788"/>
      <c r="D47" s="22"/>
      <c r="E47" s="22"/>
    </row>
    <row r="48" spans="1:6" s="23" customFormat="1" ht="15" x14ac:dyDescent="0.2">
      <c r="A48" s="788"/>
      <c r="B48" s="788"/>
      <c r="C48" s="788"/>
      <c r="D48" s="22"/>
      <c r="E48" s="22"/>
    </row>
    <row r="49" spans="1:5" s="23" customFormat="1" ht="15" x14ac:dyDescent="0.2">
      <c r="A49" s="22"/>
      <c r="B49" s="22"/>
      <c r="C49" s="22"/>
      <c r="D49" s="22"/>
      <c r="E49" s="22"/>
    </row>
  </sheetData>
  <mergeCells count="7">
    <mergeCell ref="A4:F4"/>
    <mergeCell ref="A48:C48"/>
    <mergeCell ref="A6:D7"/>
    <mergeCell ref="E6:F6"/>
    <mergeCell ref="A46:C46"/>
    <mergeCell ref="A47:C47"/>
    <mergeCell ref="A45:C45"/>
  </mergeCells>
  <phoneticPr fontId="6" type="noConversion"/>
  <pageMargins left="0.75" right="0.24" top="0.45" bottom="0.39" header="0.28000000000000003" footer="0.26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20"/>
  <sheetViews>
    <sheetView workbookViewId="0">
      <selection activeCell="E41" sqref="E41"/>
    </sheetView>
  </sheetViews>
  <sheetFormatPr defaultRowHeight="12.75" x14ac:dyDescent="0.2"/>
  <cols>
    <col min="1" max="1" width="29.7109375" customWidth="1"/>
    <col min="2" max="2" width="10.85546875" customWidth="1"/>
    <col min="3" max="3" width="15.7109375" customWidth="1"/>
    <col min="4" max="4" width="10" bestFit="1" customWidth="1"/>
    <col min="7" max="7" width="7.85546875" customWidth="1"/>
    <col min="10" max="10" width="9.85546875" customWidth="1"/>
    <col min="11" max="11" width="8.28515625" customWidth="1"/>
    <col min="12" max="12" width="12.140625" customWidth="1"/>
    <col min="13" max="13" width="15.7109375" customWidth="1"/>
  </cols>
  <sheetData>
    <row r="1" spans="1:13" x14ac:dyDescent="0.2">
      <c r="B1" s="177" t="s">
        <v>3928</v>
      </c>
      <c r="C1" s="178">
        <v>7800</v>
      </c>
    </row>
    <row r="2" spans="1:13" s="98" customFormat="1" ht="59.25" customHeight="1" x14ac:dyDescent="0.2">
      <c r="A2" s="838" t="s">
        <v>3929</v>
      </c>
      <c r="B2" s="840" t="s">
        <v>3930</v>
      </c>
      <c r="C2" s="840"/>
      <c r="D2" s="840"/>
      <c r="E2" s="840"/>
      <c r="F2" s="840"/>
      <c r="G2" s="840" t="s">
        <v>3931</v>
      </c>
      <c r="H2" s="840"/>
      <c r="I2" s="840"/>
      <c r="J2" s="840"/>
      <c r="K2" s="840"/>
      <c r="L2" s="840"/>
      <c r="M2" s="841" t="s">
        <v>3932</v>
      </c>
    </row>
    <row r="3" spans="1:13" s="98" customFormat="1" ht="78" customHeight="1" x14ac:dyDescent="0.2">
      <c r="A3" s="839"/>
      <c r="B3" s="179" t="s">
        <v>3933</v>
      </c>
      <c r="C3" s="179" t="s">
        <v>3934</v>
      </c>
      <c r="D3" s="179" t="s">
        <v>3935</v>
      </c>
      <c r="E3" s="179" t="s">
        <v>3936</v>
      </c>
      <c r="F3" s="179" t="s">
        <v>3937</v>
      </c>
      <c r="G3" s="179" t="s">
        <v>3938</v>
      </c>
      <c r="H3" s="179" t="s">
        <v>3939</v>
      </c>
      <c r="I3" s="179" t="s">
        <v>3940</v>
      </c>
      <c r="J3" s="180" t="s">
        <v>3941</v>
      </c>
      <c r="K3" s="180" t="s">
        <v>3942</v>
      </c>
      <c r="L3" s="180" t="s">
        <v>3943</v>
      </c>
      <c r="M3" s="842"/>
    </row>
    <row r="4" spans="1:13" s="98" customFormat="1" ht="21.75" customHeight="1" x14ac:dyDescent="0.2">
      <c r="A4" s="181" t="s">
        <v>3944</v>
      </c>
      <c r="B4" s="182" t="s">
        <v>3945</v>
      </c>
      <c r="C4" s="182" t="s">
        <v>3945</v>
      </c>
      <c r="D4" s="182" t="s">
        <v>3945</v>
      </c>
      <c r="E4" s="182" t="s">
        <v>3946</v>
      </c>
      <c r="F4" s="179" t="s">
        <v>3947</v>
      </c>
      <c r="G4" s="179" t="s">
        <v>3946</v>
      </c>
      <c r="H4" s="179" t="s">
        <v>3945</v>
      </c>
      <c r="I4" s="179" t="s">
        <v>3948</v>
      </c>
      <c r="J4" s="180" t="s">
        <v>3945</v>
      </c>
      <c r="K4" s="180" t="s">
        <v>3945</v>
      </c>
      <c r="L4" s="180" t="s">
        <v>3949</v>
      </c>
      <c r="M4" s="842"/>
    </row>
    <row r="5" spans="1:13" s="98" customFormat="1" ht="34.5" customHeight="1" x14ac:dyDescent="0.2">
      <c r="A5" s="181" t="s">
        <v>3950</v>
      </c>
      <c r="B5" s="179">
        <v>3</v>
      </c>
      <c r="C5" s="179">
        <v>3</v>
      </c>
      <c r="D5" s="179">
        <v>2</v>
      </c>
      <c r="E5" s="179">
        <v>2</v>
      </c>
      <c r="F5" s="179">
        <v>3</v>
      </c>
      <c r="G5" s="179">
        <v>2</v>
      </c>
      <c r="H5" s="179">
        <v>2</v>
      </c>
      <c r="I5" s="179">
        <v>3</v>
      </c>
      <c r="J5" s="180">
        <v>3</v>
      </c>
      <c r="K5" s="180">
        <v>4</v>
      </c>
      <c r="L5" s="180">
        <v>2</v>
      </c>
      <c r="M5" s="842"/>
    </row>
    <row r="6" spans="1:13" s="98" customFormat="1" ht="20.25" customHeight="1" x14ac:dyDescent="0.2">
      <c r="A6" s="181" t="s">
        <v>3951</v>
      </c>
      <c r="B6" s="183">
        <f>$C$1*1.093+2</f>
        <v>8527.4</v>
      </c>
      <c r="C6" s="183">
        <f>$C$1*1.093+2</f>
        <v>8527.4</v>
      </c>
      <c r="D6" s="183">
        <f>$C$1*1.041+1</f>
        <v>8120.7999999999993</v>
      </c>
      <c r="E6" s="183">
        <f>$C$1*1.041+1</f>
        <v>8120.7999999999993</v>
      </c>
      <c r="F6" s="183">
        <f>$C$1*1.093+2</f>
        <v>8527.4</v>
      </c>
      <c r="G6" s="183">
        <f>$C$1*1.041+1</f>
        <v>8120.7999999999993</v>
      </c>
      <c r="H6" s="183">
        <f>$C$1*1.041+1</f>
        <v>8120.7999999999993</v>
      </c>
      <c r="I6" s="183">
        <f>$C$1*1.093+2</f>
        <v>8527.4</v>
      </c>
      <c r="J6" s="183">
        <f>$C$1*1.093+2</f>
        <v>8527.4</v>
      </c>
      <c r="K6" s="183">
        <f>$C$1*1.143</f>
        <v>8915.4</v>
      </c>
      <c r="L6" s="183">
        <f>$C$1*1.041+1</f>
        <v>8120.7999999999993</v>
      </c>
      <c r="M6" s="843"/>
    </row>
    <row r="7" spans="1:13" s="98" customFormat="1" ht="57" customHeight="1" x14ac:dyDescent="0.2">
      <c r="A7" s="184" t="s">
        <v>3952</v>
      </c>
      <c r="B7" s="185">
        <v>0.2</v>
      </c>
      <c r="C7" s="185">
        <v>0.37</v>
      </c>
      <c r="D7" s="185">
        <v>0.18</v>
      </c>
      <c r="E7" s="185">
        <v>0.01</v>
      </c>
      <c r="F7" s="185">
        <v>0.01</v>
      </c>
      <c r="G7" s="185">
        <v>0.01</v>
      </c>
      <c r="H7" s="185">
        <v>0.02</v>
      </c>
      <c r="I7" s="185">
        <v>0.01</v>
      </c>
      <c r="J7" s="180">
        <v>0.01</v>
      </c>
      <c r="K7" s="180">
        <v>0.08</v>
      </c>
      <c r="L7" s="180">
        <v>0.03</v>
      </c>
      <c r="M7" s="180">
        <f>SUM(B7:L7)</f>
        <v>0.93</v>
      </c>
    </row>
    <row r="8" spans="1:13" x14ac:dyDescent="0.2">
      <c r="A8" s="81" t="s">
        <v>3953</v>
      </c>
      <c r="B8" s="186">
        <f>B7*B6</f>
        <v>1705.48</v>
      </c>
      <c r="C8" s="186">
        <f t="shared" ref="C8:L8" si="0">C7*C6</f>
        <v>3155.1379999999999</v>
      </c>
      <c r="D8" s="186">
        <f t="shared" si="0"/>
        <v>1461.7439999999999</v>
      </c>
      <c r="E8" s="186">
        <f t="shared" si="0"/>
        <v>81.207999999999998</v>
      </c>
      <c r="F8" s="186">
        <f t="shared" si="0"/>
        <v>85.274000000000001</v>
      </c>
      <c r="G8" s="186">
        <f t="shared" si="0"/>
        <v>81.207999999999998</v>
      </c>
      <c r="H8" s="186">
        <f t="shared" si="0"/>
        <v>162.416</v>
      </c>
      <c r="I8" s="186">
        <f t="shared" si="0"/>
        <v>85.274000000000001</v>
      </c>
      <c r="J8" s="186">
        <f t="shared" si="0"/>
        <v>85.274000000000001</v>
      </c>
      <c r="K8" s="186">
        <f t="shared" si="0"/>
        <v>713.23199999999997</v>
      </c>
      <c r="L8" s="186">
        <f t="shared" si="0"/>
        <v>243.62399999999997</v>
      </c>
      <c r="M8" s="186">
        <f>SUM(B8:L8)</f>
        <v>7859.8720000000003</v>
      </c>
    </row>
    <row r="9" spans="1:13" x14ac:dyDescent="0.2">
      <c r="A9" s="81" t="s">
        <v>3954</v>
      </c>
      <c r="B9" s="186">
        <f>B8*0.302</f>
        <v>515.05495999999994</v>
      </c>
      <c r="C9" s="186">
        <f t="shared" ref="C9:L9" si="1">C8*0.302</f>
        <v>952.851676</v>
      </c>
      <c r="D9" s="186">
        <f t="shared" si="1"/>
        <v>441.44668799999994</v>
      </c>
      <c r="E9" s="186">
        <f t="shared" si="1"/>
        <v>24.524815999999998</v>
      </c>
      <c r="F9" s="186">
        <f t="shared" si="1"/>
        <v>25.752748</v>
      </c>
      <c r="G9" s="186">
        <f t="shared" si="1"/>
        <v>24.524815999999998</v>
      </c>
      <c r="H9" s="186">
        <f t="shared" si="1"/>
        <v>49.049631999999995</v>
      </c>
      <c r="I9" s="186">
        <f t="shared" si="1"/>
        <v>25.752748</v>
      </c>
      <c r="J9" s="186">
        <f t="shared" si="1"/>
        <v>25.752748</v>
      </c>
      <c r="K9" s="186">
        <f t="shared" si="1"/>
        <v>215.396064</v>
      </c>
      <c r="L9" s="186">
        <f t="shared" si="1"/>
        <v>73.57444799999999</v>
      </c>
      <c r="M9" s="186">
        <f t="shared" ref="M9" si="2">SUM(B9:L9)</f>
        <v>2373.6813440000001</v>
      </c>
    </row>
    <row r="10" spans="1:13" x14ac:dyDescent="0.2">
      <c r="A10" s="81" t="s">
        <v>3837</v>
      </c>
      <c r="B10" s="186">
        <f>SUM(B8:B9)</f>
        <v>2220.53496</v>
      </c>
      <c r="C10" s="186">
        <f t="shared" ref="C10:L10" si="3">SUM(C8:C9)</f>
        <v>4107.9896760000001</v>
      </c>
      <c r="D10" s="186">
        <f t="shared" si="3"/>
        <v>1903.1906879999999</v>
      </c>
      <c r="E10" s="186">
        <f t="shared" si="3"/>
        <v>105.732816</v>
      </c>
      <c r="F10" s="186">
        <f t="shared" si="3"/>
        <v>111.026748</v>
      </c>
      <c r="G10" s="186">
        <f t="shared" si="3"/>
        <v>105.732816</v>
      </c>
      <c r="H10" s="186">
        <f t="shared" si="3"/>
        <v>211.465632</v>
      </c>
      <c r="I10" s="186">
        <f t="shared" si="3"/>
        <v>111.026748</v>
      </c>
      <c r="J10" s="186">
        <f t="shared" si="3"/>
        <v>111.026748</v>
      </c>
      <c r="K10" s="186">
        <f t="shared" si="3"/>
        <v>928.62806399999999</v>
      </c>
      <c r="L10" s="186">
        <f t="shared" si="3"/>
        <v>317.19844799999998</v>
      </c>
      <c r="M10" s="186">
        <f>SUM(B10:L10)</f>
        <v>10233.553344</v>
      </c>
    </row>
    <row r="13" spans="1:13" x14ac:dyDescent="0.2">
      <c r="A13" s="187" t="s">
        <v>3955</v>
      </c>
    </row>
    <row r="15" spans="1:13" ht="15.75" x14ac:dyDescent="0.2">
      <c r="A15" s="180" t="s">
        <v>3956</v>
      </c>
      <c r="B15" s="81" t="s">
        <v>3957</v>
      </c>
      <c r="C15" s="81" t="s">
        <v>3958</v>
      </c>
      <c r="D15" s="81" t="s">
        <v>3959</v>
      </c>
    </row>
    <row r="16" spans="1:13" ht="15.75" x14ac:dyDescent="0.2">
      <c r="A16" s="180" t="s">
        <v>3960</v>
      </c>
      <c r="B16" s="188">
        <v>19490</v>
      </c>
      <c r="C16" s="188">
        <v>17435</v>
      </c>
      <c r="D16" s="188">
        <v>15395</v>
      </c>
    </row>
    <row r="17" spans="1:4" x14ac:dyDescent="0.2">
      <c r="A17" s="81" t="s">
        <v>3961</v>
      </c>
      <c r="B17" s="81">
        <f>M7/15</f>
        <v>6.2000000000000006E-2</v>
      </c>
      <c r="C17" s="81">
        <f>M7/15</f>
        <v>6.2000000000000006E-2</v>
      </c>
      <c r="D17" s="81">
        <f>M7/15</f>
        <v>6.2000000000000006E-2</v>
      </c>
    </row>
    <row r="18" spans="1:4" ht="25.5" x14ac:dyDescent="0.2">
      <c r="A18" s="132" t="s">
        <v>3962</v>
      </c>
      <c r="B18" s="186">
        <f>B17*B16*1.302</f>
        <v>1573.3107600000003</v>
      </c>
      <c r="C18" s="186">
        <f t="shared" ref="C18:D18" si="4">C17*C16*1.302</f>
        <v>1407.4229400000002</v>
      </c>
      <c r="D18" s="186">
        <f t="shared" si="4"/>
        <v>1242.7459800000001</v>
      </c>
    </row>
    <row r="19" spans="1:4" x14ac:dyDescent="0.2">
      <c r="A19" s="189" t="s">
        <v>3963</v>
      </c>
      <c r="B19" s="186">
        <f>(M10+B18)</f>
        <v>11806.864104</v>
      </c>
      <c r="C19" s="186">
        <f>C18+M10</f>
        <v>11640.976284</v>
      </c>
      <c r="D19" s="186">
        <f>D18+M10</f>
        <v>11476.299324</v>
      </c>
    </row>
    <row r="20" spans="1:4" x14ac:dyDescent="0.2">
      <c r="A20" s="133" t="s">
        <v>3964</v>
      </c>
      <c r="B20" s="469">
        <f>B19/1000*12</f>
        <v>141.68236924800001</v>
      </c>
      <c r="C20" s="186">
        <f>C19/1000*12</f>
        <v>139.69171540799999</v>
      </c>
      <c r="D20" s="148">
        <f t="shared" ref="D20" si="5">D19/1000*12</f>
        <v>137.71559188800001</v>
      </c>
    </row>
  </sheetData>
  <mergeCells count="4">
    <mergeCell ref="A2:A3"/>
    <mergeCell ref="B2:F2"/>
    <mergeCell ref="G2:L2"/>
    <mergeCell ref="M2:M6"/>
  </mergeCells>
  <pageMargins left="0.7" right="0.7" top="0.75" bottom="0.75" header="0.3" footer="0.3"/>
  <pageSetup paperSize="9" scale="8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18"/>
  <sheetViews>
    <sheetView view="pageBreakPreview" zoomScale="95" zoomScaleSheetLayoutView="95" workbookViewId="0">
      <selection activeCell="D1" sqref="D1:G1"/>
    </sheetView>
  </sheetViews>
  <sheetFormatPr defaultRowHeight="12.75" x14ac:dyDescent="0.2"/>
  <cols>
    <col min="1" max="1" width="5.5703125" bestFit="1" customWidth="1"/>
    <col min="2" max="2" width="34.5703125" bestFit="1" customWidth="1"/>
    <col min="3" max="3" width="6.140625" customWidth="1"/>
    <col min="4" max="4" width="9.42578125" bestFit="1" customWidth="1"/>
    <col min="5" max="5" width="7.140625" bestFit="1" customWidth="1"/>
    <col min="6" max="6" width="14.7109375" bestFit="1" customWidth="1"/>
    <col min="7" max="7" width="14.140625" bestFit="1" customWidth="1"/>
    <col min="10" max="10" width="9.85546875" customWidth="1"/>
    <col min="11" max="11" width="8.28515625" customWidth="1"/>
    <col min="12" max="12" width="12.140625" customWidth="1"/>
    <col min="13" max="13" width="15.7109375" customWidth="1"/>
  </cols>
  <sheetData>
    <row r="1" spans="1:8" ht="15" x14ac:dyDescent="0.2">
      <c r="A1" s="24"/>
      <c r="B1" s="24"/>
      <c r="C1" s="24"/>
      <c r="D1" s="801" t="s">
        <v>4685</v>
      </c>
      <c r="E1" s="801"/>
      <c r="F1" s="801"/>
      <c r="G1" s="801"/>
      <c r="H1" s="24"/>
    </row>
    <row r="2" spans="1:8" ht="15" x14ac:dyDescent="0.2">
      <c r="A2" s="24"/>
      <c r="B2" s="24"/>
      <c r="C2" s="24"/>
      <c r="D2" s="574" t="s">
        <v>4586</v>
      </c>
      <c r="E2" s="550"/>
      <c r="F2" s="550"/>
      <c r="G2" s="550"/>
      <c r="H2" s="24"/>
    </row>
    <row r="3" spans="1:8" ht="15" x14ac:dyDescent="0.2">
      <c r="A3" s="24"/>
      <c r="B3" s="24"/>
      <c r="C3" s="24"/>
      <c r="D3" s="24"/>
      <c r="E3" s="24"/>
      <c r="F3" s="24"/>
      <c r="G3" s="24"/>
      <c r="H3" s="24"/>
    </row>
    <row r="4" spans="1:8" ht="15" x14ac:dyDescent="0.2">
      <c r="A4" s="24"/>
      <c r="B4" s="24"/>
      <c r="C4" s="24"/>
      <c r="D4" s="24"/>
      <c r="E4" s="24"/>
      <c r="F4" s="24"/>
      <c r="G4" s="24"/>
      <c r="H4" s="24"/>
    </row>
    <row r="5" spans="1:8" ht="15" x14ac:dyDescent="0.2">
      <c r="A5" s="24"/>
      <c r="B5" s="24"/>
      <c r="C5" s="24"/>
      <c r="D5" s="24"/>
      <c r="E5" s="24"/>
      <c r="F5" s="24"/>
      <c r="G5" s="24"/>
      <c r="H5" s="24"/>
    </row>
    <row r="6" spans="1:8" ht="15.75" x14ac:dyDescent="0.25">
      <c r="A6" s="10"/>
      <c r="B6" s="10"/>
    </row>
    <row r="7" spans="1:8" ht="34.5" customHeight="1" x14ac:dyDescent="0.2">
      <c r="A7" s="823" t="s">
        <v>4133</v>
      </c>
      <c r="B7" s="823"/>
      <c r="C7" s="823"/>
      <c r="D7" s="823"/>
      <c r="E7" s="823"/>
      <c r="F7" s="823"/>
      <c r="G7" s="823"/>
    </row>
    <row r="8" spans="1:8" x14ac:dyDescent="0.2">
      <c r="A8" s="12"/>
      <c r="B8" s="12"/>
    </row>
    <row r="9" spans="1:8" ht="38.25" x14ac:dyDescent="0.2">
      <c r="A9" s="202" t="s">
        <v>4105</v>
      </c>
      <c r="B9" s="202" t="s">
        <v>4061</v>
      </c>
      <c r="C9" s="306" t="s">
        <v>4128</v>
      </c>
      <c r="D9" s="291" t="s">
        <v>4369</v>
      </c>
      <c r="E9" s="291" t="s">
        <v>4580</v>
      </c>
      <c r="F9" s="291" t="s">
        <v>4360</v>
      </c>
      <c r="G9" s="589" t="s">
        <v>4127</v>
      </c>
      <c r="H9" s="53"/>
    </row>
    <row r="10" spans="1:8" x14ac:dyDescent="0.2">
      <c r="A10" s="54">
        <v>1</v>
      </c>
      <c r="B10" s="230">
        <v>2</v>
      </c>
      <c r="C10" s="54">
        <v>3</v>
      </c>
      <c r="D10" s="230">
        <v>4</v>
      </c>
      <c r="E10" s="54">
        <v>5</v>
      </c>
      <c r="F10" s="230">
        <v>6</v>
      </c>
      <c r="G10" s="54">
        <v>7</v>
      </c>
      <c r="H10" s="56"/>
    </row>
    <row r="11" spans="1:8" ht="30" x14ac:dyDescent="0.25">
      <c r="A11" s="282">
        <v>1</v>
      </c>
      <c r="B11" s="233" t="s">
        <v>4126</v>
      </c>
      <c r="C11" s="60">
        <v>1</v>
      </c>
      <c r="D11" s="577">
        <v>10.18</v>
      </c>
      <c r="E11" s="205">
        <v>1</v>
      </c>
      <c r="F11" s="205">
        <f>D11*E11</f>
        <v>10.18</v>
      </c>
      <c r="G11" s="205">
        <f>C11*F11*12</f>
        <v>122.16</v>
      </c>
      <c r="H11" s="59"/>
    </row>
    <row r="12" spans="1:8" ht="15" x14ac:dyDescent="0.2">
      <c r="A12" s="214"/>
      <c r="B12" s="232"/>
      <c r="C12" s="216"/>
      <c r="D12" s="216"/>
      <c r="E12" s="216"/>
      <c r="F12" s="217" t="s">
        <v>3825</v>
      </c>
      <c r="G12" s="218">
        <f>SUM(G11:G11)</f>
        <v>122.16</v>
      </c>
      <c r="H12" s="59"/>
    </row>
    <row r="13" spans="1:8" x14ac:dyDescent="0.2">
      <c r="A13" s="38"/>
      <c r="B13" s="38"/>
      <c r="C13" s="38"/>
      <c r="D13" s="38"/>
      <c r="E13" s="38"/>
      <c r="G13" s="59"/>
    </row>
    <row r="14" spans="1:8" ht="15" hidden="1" customHeight="1" x14ac:dyDescent="0.2">
      <c r="B14" s="791" t="s">
        <v>3847</v>
      </c>
      <c r="C14" s="791"/>
      <c r="D14" s="791"/>
      <c r="E14" s="791"/>
      <c r="F14" s="791"/>
    </row>
    <row r="15" spans="1:8" ht="15" x14ac:dyDescent="0.2">
      <c r="A15" s="21"/>
      <c r="B15" s="23"/>
      <c r="C15" s="23"/>
      <c r="D15" s="23"/>
      <c r="E15" s="23"/>
      <c r="F15" s="23"/>
      <c r="G15" s="23"/>
      <c r="H15" s="23"/>
    </row>
    <row r="16" spans="1:8" ht="15" x14ac:dyDescent="0.2">
      <c r="A16" s="42"/>
      <c r="B16" s="281"/>
      <c r="C16" s="23"/>
      <c r="D16" s="23"/>
      <c r="E16" s="23"/>
      <c r="F16" s="23"/>
      <c r="G16" s="23"/>
      <c r="H16" s="23"/>
    </row>
    <row r="17" spans="1:8" ht="15" x14ac:dyDescent="0.2">
      <c r="A17" s="42"/>
      <c r="B17" s="280"/>
      <c r="C17" s="23"/>
      <c r="D17" s="23"/>
      <c r="E17" s="23"/>
      <c r="F17" s="23"/>
      <c r="G17" s="23"/>
      <c r="H17" s="23"/>
    </row>
    <row r="18" spans="1:8" ht="15" x14ac:dyDescent="0.2">
      <c r="A18" s="42"/>
      <c r="B18" s="354"/>
      <c r="C18" s="23"/>
      <c r="D18" s="23"/>
      <c r="E18" s="23"/>
      <c r="F18" s="23"/>
      <c r="G18" s="23"/>
      <c r="H18" s="23"/>
    </row>
  </sheetData>
  <mergeCells count="3">
    <mergeCell ref="B14:F14"/>
    <mergeCell ref="A7:G7"/>
    <mergeCell ref="D1:G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24"/>
  <sheetViews>
    <sheetView workbookViewId="0">
      <selection activeCell="E1" sqref="E1:G1"/>
    </sheetView>
  </sheetViews>
  <sheetFormatPr defaultRowHeight="12.75" x14ac:dyDescent="0.2"/>
  <cols>
    <col min="1" max="1" width="3.7109375" customWidth="1"/>
    <col min="2" max="2" width="29" bestFit="1" customWidth="1"/>
    <col min="3" max="3" width="6.7109375" bestFit="1" customWidth="1"/>
    <col min="4" max="4" width="11.85546875" bestFit="1" customWidth="1"/>
    <col min="5" max="5" width="11.7109375" bestFit="1" customWidth="1"/>
    <col min="6" max="6" width="11.140625" bestFit="1" customWidth="1"/>
    <col min="7" max="7" width="18.42578125" bestFit="1" customWidth="1"/>
    <col min="9" max="9" width="12.7109375" customWidth="1"/>
  </cols>
  <sheetData>
    <row r="1" spans="1:7" s="24" customFormat="1" ht="15" x14ac:dyDescent="0.2">
      <c r="E1" s="801" t="s">
        <v>4686</v>
      </c>
      <c r="F1" s="801"/>
      <c r="G1" s="801"/>
    </row>
    <row r="2" spans="1:7" s="24" customFormat="1" ht="15" x14ac:dyDescent="0.2">
      <c r="E2" s="786" t="s">
        <v>4586</v>
      </c>
      <c r="F2" s="786"/>
      <c r="G2" s="786"/>
    </row>
    <row r="3" spans="1:7" s="24" customFormat="1" ht="15" x14ac:dyDescent="0.2"/>
    <row r="4" spans="1:7" s="24" customFormat="1" ht="15" x14ac:dyDescent="0.2"/>
    <row r="5" spans="1:7" s="24" customFormat="1" ht="15" x14ac:dyDescent="0.2"/>
    <row r="6" spans="1:7" ht="15.75" x14ac:dyDescent="0.25">
      <c r="A6" s="10"/>
      <c r="B6" s="10"/>
    </row>
    <row r="7" spans="1:7" ht="33.75" customHeight="1" x14ac:dyDescent="0.2">
      <c r="A7" s="11"/>
      <c r="B7" s="823" t="s">
        <v>4099</v>
      </c>
      <c r="C7" s="823"/>
      <c r="D7" s="823"/>
      <c r="E7" s="823"/>
      <c r="F7" s="823"/>
      <c r="G7" s="823"/>
    </row>
    <row r="8" spans="1:7" x14ac:dyDescent="0.2">
      <c r="A8" s="12"/>
      <c r="B8" s="12"/>
    </row>
    <row r="9" spans="1:7" s="53" customFormat="1" ht="31.15" customHeight="1" x14ac:dyDescent="0.2">
      <c r="A9" s="202" t="s">
        <v>4105</v>
      </c>
      <c r="B9" s="202" t="s">
        <v>4061</v>
      </c>
      <c r="C9" s="306" t="s">
        <v>4115</v>
      </c>
      <c r="D9" s="291" t="s">
        <v>4369</v>
      </c>
      <c r="E9" s="291" t="s">
        <v>4580</v>
      </c>
      <c r="F9" s="291" t="s">
        <v>4360</v>
      </c>
      <c r="G9" s="589" t="s">
        <v>3967</v>
      </c>
    </row>
    <row r="10" spans="1:7" s="56" customFormat="1" ht="11.25" x14ac:dyDescent="0.2">
      <c r="A10" s="54">
        <v>1</v>
      </c>
      <c r="B10" s="230">
        <v>2</v>
      </c>
      <c r="C10" s="54">
        <v>3</v>
      </c>
      <c r="D10" s="581">
        <v>4</v>
      </c>
      <c r="E10" s="54">
        <v>5</v>
      </c>
      <c r="F10" s="230">
        <v>6</v>
      </c>
      <c r="G10" s="54">
        <v>7</v>
      </c>
    </row>
    <row r="11" spans="1:7" s="59" customFormat="1" ht="30.75" customHeight="1" x14ac:dyDescent="0.2">
      <c r="A11" s="307">
        <v>1</v>
      </c>
      <c r="B11" s="308" t="s">
        <v>4100</v>
      </c>
      <c r="C11" s="60">
        <v>1</v>
      </c>
      <c r="D11" s="577">
        <v>9301.8799999999992</v>
      </c>
      <c r="E11" s="205">
        <v>1</v>
      </c>
      <c r="F11" s="205">
        <f>D11*E11</f>
        <v>9301.8799999999992</v>
      </c>
      <c r="G11" s="205">
        <f>C11*F11*12</f>
        <v>111622.56</v>
      </c>
    </row>
    <row r="12" spans="1:7" s="59" customFormat="1" ht="20.25" customHeight="1" x14ac:dyDescent="0.2">
      <c r="A12" s="214"/>
      <c r="B12" s="232"/>
      <c r="C12" s="216"/>
      <c r="D12" s="216"/>
      <c r="E12" s="216"/>
      <c r="F12" s="217" t="s">
        <v>3825</v>
      </c>
      <c r="G12" s="218">
        <f>SUM(G11:G11)</f>
        <v>111622.56</v>
      </c>
    </row>
    <row r="13" spans="1:7" x14ac:dyDescent="0.2">
      <c r="A13" s="38"/>
      <c r="B13" s="38"/>
      <c r="C13" s="38"/>
      <c r="D13" s="38"/>
      <c r="E13" s="38"/>
      <c r="G13" s="59"/>
    </row>
    <row r="14" spans="1:7" ht="15" hidden="1" x14ac:dyDescent="0.2">
      <c r="B14" s="791" t="s">
        <v>3847</v>
      </c>
      <c r="C14" s="791"/>
      <c r="D14" s="791"/>
      <c r="E14" s="791"/>
      <c r="F14" s="791"/>
    </row>
    <row r="15" spans="1:7" s="23" customFormat="1" ht="17.25" customHeight="1" x14ac:dyDescent="0.2">
      <c r="A15" s="21"/>
    </row>
    <row r="16" spans="1:7" s="23" customFormat="1" ht="18" customHeight="1" x14ac:dyDescent="0.2">
      <c r="A16" s="42"/>
      <c r="B16" s="25"/>
    </row>
    <row r="17" spans="1:2" s="23" customFormat="1" ht="15" x14ac:dyDescent="0.2">
      <c r="A17" s="42"/>
      <c r="B17" s="210"/>
    </row>
    <row r="18" spans="1:2" s="23" customFormat="1" ht="15" x14ac:dyDescent="0.2">
      <c r="A18" s="42"/>
      <c r="B18" s="210"/>
    </row>
    <row r="19" spans="1:2" s="23" customFormat="1" ht="15" x14ac:dyDescent="0.2">
      <c r="A19" s="210"/>
    </row>
    <row r="20" spans="1:2" s="23" customFormat="1" ht="15" x14ac:dyDescent="0.2">
      <c r="A20" s="792"/>
      <c r="B20" s="793"/>
    </row>
    <row r="21" spans="1:2" s="23" customFormat="1" ht="15" customHeight="1" x14ac:dyDescent="0.2">
      <c r="A21" s="788"/>
      <c r="B21" s="788"/>
    </row>
    <row r="22" spans="1:2" s="23" customFormat="1" ht="15" x14ac:dyDescent="0.2">
      <c r="A22" s="788"/>
      <c r="B22" s="788"/>
    </row>
    <row r="23" spans="1:2" s="23" customFormat="1" ht="15" x14ac:dyDescent="0.2">
      <c r="A23" s="788"/>
      <c r="B23" s="788"/>
    </row>
    <row r="24" spans="1:2" s="23" customFormat="1" ht="15" x14ac:dyDescent="0.2">
      <c r="A24" s="210"/>
      <c r="B24" s="210"/>
    </row>
  </sheetData>
  <mergeCells count="8">
    <mergeCell ref="E1:G1"/>
    <mergeCell ref="E2:G2"/>
    <mergeCell ref="A23:B23"/>
    <mergeCell ref="B7:G7"/>
    <mergeCell ref="B14:F14"/>
    <mergeCell ref="A20:B20"/>
    <mergeCell ref="A21:B21"/>
    <mergeCell ref="A22:B2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37"/>
  <sheetViews>
    <sheetView topLeftCell="C7" workbookViewId="0">
      <selection activeCell="E25" sqref="E25"/>
    </sheetView>
  </sheetViews>
  <sheetFormatPr defaultRowHeight="12.75" x14ac:dyDescent="0.2"/>
  <cols>
    <col min="1" max="1" width="3.7109375" customWidth="1"/>
    <col min="2" max="2" width="39.5703125" customWidth="1"/>
    <col min="3" max="3" width="14.28515625" customWidth="1"/>
    <col min="4" max="4" width="11.7109375" customWidth="1"/>
    <col min="5" max="5" width="12.85546875" customWidth="1"/>
    <col min="6" max="6" width="14.85546875" customWidth="1"/>
    <col min="7" max="7" width="20.7109375" customWidth="1"/>
    <col min="9" max="9" width="13.28515625" customWidth="1"/>
  </cols>
  <sheetData>
    <row r="1" spans="1:7" s="24" customFormat="1" ht="15" x14ac:dyDescent="0.2">
      <c r="E1" s="801" t="s">
        <v>4036</v>
      </c>
      <c r="F1" s="801"/>
      <c r="G1" s="801"/>
    </row>
    <row r="2" spans="1:7" s="24" customFormat="1" ht="15" x14ac:dyDescent="0.2">
      <c r="E2" s="844" t="s">
        <v>68</v>
      </c>
      <c r="F2" s="844"/>
      <c r="G2" s="844"/>
    </row>
    <row r="3" spans="1:7" s="24" customFormat="1" ht="15" x14ac:dyDescent="0.2"/>
    <row r="4" spans="1:7" s="24" customFormat="1" ht="15" x14ac:dyDescent="0.2"/>
    <row r="5" spans="1:7" s="24" customFormat="1" ht="15" x14ac:dyDescent="0.2"/>
    <row r="6" spans="1:7" ht="15.75" x14ac:dyDescent="0.25">
      <c r="A6" s="10"/>
      <c r="B6" s="10"/>
    </row>
    <row r="7" spans="1:7" ht="48" customHeight="1" x14ac:dyDescent="0.2">
      <c r="A7" s="11"/>
      <c r="B7" s="823" t="s">
        <v>4067</v>
      </c>
      <c r="C7" s="823"/>
      <c r="D7" s="823"/>
      <c r="E7" s="823"/>
      <c r="F7" s="823"/>
      <c r="G7" s="823"/>
    </row>
    <row r="8" spans="1:7" x14ac:dyDescent="0.2">
      <c r="A8" s="12"/>
      <c r="B8" s="12"/>
    </row>
    <row r="9" spans="1:7" s="53" customFormat="1" ht="31.15" customHeight="1" x14ac:dyDescent="0.2">
      <c r="A9" s="302" t="s">
        <v>4105</v>
      </c>
      <c r="B9" s="302" t="s">
        <v>4061</v>
      </c>
      <c r="C9" s="303" t="s">
        <v>4155</v>
      </c>
      <c r="D9" s="291" t="s">
        <v>4197</v>
      </c>
      <c r="E9" s="291" t="s">
        <v>4198</v>
      </c>
      <c r="F9" s="291" t="s">
        <v>4199</v>
      </c>
      <c r="G9" s="304" t="s">
        <v>3967</v>
      </c>
    </row>
    <row r="10" spans="1:7" s="56" customFormat="1" ht="11.25" x14ac:dyDescent="0.2">
      <c r="A10" s="54">
        <v>1</v>
      </c>
      <c r="B10" s="54">
        <v>2</v>
      </c>
      <c r="C10" s="54">
        <v>3</v>
      </c>
      <c r="D10" s="54">
        <v>4</v>
      </c>
      <c r="E10" s="54">
        <v>5</v>
      </c>
      <c r="F10" s="54">
        <v>6</v>
      </c>
      <c r="G10" s="54">
        <v>7</v>
      </c>
    </row>
    <row r="11" spans="1:7" s="59" customFormat="1" ht="20.25" customHeight="1" x14ac:dyDescent="0.25">
      <c r="A11" s="160">
        <v>1</v>
      </c>
      <c r="B11" s="288" t="s">
        <v>4068</v>
      </c>
      <c r="C11" s="60">
        <v>1</v>
      </c>
      <c r="D11" s="205">
        <v>200</v>
      </c>
      <c r="E11" s="205">
        <v>0</v>
      </c>
      <c r="F11" s="205">
        <f t="shared" ref="F11:F23" si="0">D11*E11</f>
        <v>0</v>
      </c>
      <c r="G11" s="205">
        <f t="shared" ref="G11:G23" si="1">C11*F11*12</f>
        <v>0</v>
      </c>
    </row>
    <row r="12" spans="1:7" s="59" customFormat="1" ht="20.25" customHeight="1" x14ac:dyDescent="0.25">
      <c r="A12" s="160">
        <v>2</v>
      </c>
      <c r="B12" s="288" t="s">
        <v>4071</v>
      </c>
      <c r="C12" s="60">
        <v>1</v>
      </c>
      <c r="D12" s="205">
        <v>200</v>
      </c>
      <c r="E12" s="205">
        <v>0</v>
      </c>
      <c r="F12" s="205">
        <f t="shared" si="0"/>
        <v>0</v>
      </c>
      <c r="G12" s="205">
        <f t="shared" si="1"/>
        <v>0</v>
      </c>
    </row>
    <row r="13" spans="1:7" s="59" customFormat="1" ht="20.25" customHeight="1" x14ac:dyDescent="0.25">
      <c r="A13" s="160">
        <v>3</v>
      </c>
      <c r="B13" s="288" t="s">
        <v>4072</v>
      </c>
      <c r="C13" s="60">
        <v>1</v>
      </c>
      <c r="D13" s="205">
        <v>200</v>
      </c>
      <c r="E13" s="205">
        <v>0</v>
      </c>
      <c r="F13" s="205">
        <f t="shared" si="0"/>
        <v>0</v>
      </c>
      <c r="G13" s="205">
        <f t="shared" si="1"/>
        <v>0</v>
      </c>
    </row>
    <row r="14" spans="1:7" s="59" customFormat="1" ht="20.25" customHeight="1" x14ac:dyDescent="0.25">
      <c r="A14" s="160">
        <v>4</v>
      </c>
      <c r="B14" s="288" t="s">
        <v>4074</v>
      </c>
      <c r="C14" s="60">
        <v>1</v>
      </c>
      <c r="D14" s="205">
        <v>200</v>
      </c>
      <c r="E14" s="205">
        <v>0</v>
      </c>
      <c r="F14" s="205">
        <f t="shared" si="0"/>
        <v>0</v>
      </c>
      <c r="G14" s="205">
        <f t="shared" si="1"/>
        <v>0</v>
      </c>
    </row>
    <row r="15" spans="1:7" s="59" customFormat="1" ht="20.25" customHeight="1" x14ac:dyDescent="0.25">
      <c r="A15" s="160">
        <v>5</v>
      </c>
      <c r="B15" s="288" t="s">
        <v>4070</v>
      </c>
      <c r="C15" s="60">
        <v>1</v>
      </c>
      <c r="D15" s="205">
        <v>200</v>
      </c>
      <c r="E15" s="205">
        <v>0</v>
      </c>
      <c r="F15" s="205">
        <f t="shared" si="0"/>
        <v>0</v>
      </c>
      <c r="G15" s="205">
        <f t="shared" si="1"/>
        <v>0</v>
      </c>
    </row>
    <row r="16" spans="1:7" s="59" customFormat="1" ht="20.25" customHeight="1" x14ac:dyDescent="0.25">
      <c r="A16" s="160">
        <v>6</v>
      </c>
      <c r="B16" s="288" t="s">
        <v>4075</v>
      </c>
      <c r="C16" s="60">
        <v>1</v>
      </c>
      <c r="D16" s="205">
        <v>200</v>
      </c>
      <c r="E16" s="205">
        <v>0</v>
      </c>
      <c r="F16" s="205">
        <f t="shared" si="0"/>
        <v>0</v>
      </c>
      <c r="G16" s="205">
        <f t="shared" si="1"/>
        <v>0</v>
      </c>
    </row>
    <row r="17" spans="1:7" s="59" customFormat="1" ht="20.25" customHeight="1" x14ac:dyDescent="0.25">
      <c r="A17" s="160">
        <v>7</v>
      </c>
      <c r="B17" s="289" t="s">
        <v>4076</v>
      </c>
      <c r="C17" s="60">
        <v>1</v>
      </c>
      <c r="D17" s="205">
        <v>200</v>
      </c>
      <c r="E17" s="205">
        <v>0</v>
      </c>
      <c r="F17" s="205">
        <f t="shared" si="0"/>
        <v>0</v>
      </c>
      <c r="G17" s="205">
        <f t="shared" si="1"/>
        <v>0</v>
      </c>
    </row>
    <row r="18" spans="1:7" s="59" customFormat="1" ht="20.25" customHeight="1" x14ac:dyDescent="0.25">
      <c r="A18" s="160">
        <v>8</v>
      </c>
      <c r="B18" s="288" t="s">
        <v>4078</v>
      </c>
      <c r="C18" s="60">
        <v>2</v>
      </c>
      <c r="D18" s="205">
        <v>200</v>
      </c>
      <c r="E18" s="205">
        <v>0</v>
      </c>
      <c r="F18" s="205">
        <f t="shared" si="0"/>
        <v>0</v>
      </c>
      <c r="G18" s="205">
        <f t="shared" si="1"/>
        <v>0</v>
      </c>
    </row>
    <row r="19" spans="1:7" s="59" customFormat="1" ht="20.25" customHeight="1" x14ac:dyDescent="0.25">
      <c r="A19" s="160">
        <v>9</v>
      </c>
      <c r="B19" s="288" t="s">
        <v>4077</v>
      </c>
      <c r="C19" s="60">
        <v>1</v>
      </c>
      <c r="D19" s="205">
        <v>200</v>
      </c>
      <c r="E19" s="205">
        <v>0</v>
      </c>
      <c r="F19" s="205">
        <f t="shared" si="0"/>
        <v>0</v>
      </c>
      <c r="G19" s="205">
        <f t="shared" si="1"/>
        <v>0</v>
      </c>
    </row>
    <row r="20" spans="1:7" s="59" customFormat="1" ht="20.25" customHeight="1" x14ac:dyDescent="0.25">
      <c r="A20" s="160">
        <v>10</v>
      </c>
      <c r="B20" s="288" t="s">
        <v>4069</v>
      </c>
      <c r="C20" s="60">
        <v>1</v>
      </c>
      <c r="D20" s="205">
        <v>200</v>
      </c>
      <c r="E20" s="205">
        <v>0</v>
      </c>
      <c r="F20" s="205">
        <f t="shared" si="0"/>
        <v>0</v>
      </c>
      <c r="G20" s="205">
        <f t="shared" si="1"/>
        <v>0</v>
      </c>
    </row>
    <row r="21" spans="1:7" s="59" customFormat="1" ht="20.25" customHeight="1" x14ac:dyDescent="0.25">
      <c r="A21" s="160">
        <v>11</v>
      </c>
      <c r="B21" s="288" t="s">
        <v>4079</v>
      </c>
      <c r="C21" s="60">
        <v>1</v>
      </c>
      <c r="D21" s="205">
        <v>200</v>
      </c>
      <c r="E21" s="205">
        <v>0</v>
      </c>
      <c r="F21" s="205">
        <f t="shared" si="0"/>
        <v>0</v>
      </c>
      <c r="G21" s="205">
        <f t="shared" si="1"/>
        <v>0</v>
      </c>
    </row>
    <row r="22" spans="1:7" s="59" customFormat="1" ht="20.25" customHeight="1" x14ac:dyDescent="0.25">
      <c r="A22" s="160">
        <v>12</v>
      </c>
      <c r="B22" s="288" t="s">
        <v>4080</v>
      </c>
      <c r="C22" s="60">
        <v>2</v>
      </c>
      <c r="D22" s="205">
        <v>200</v>
      </c>
      <c r="E22" s="205">
        <v>0</v>
      </c>
      <c r="F22" s="205">
        <f t="shared" si="0"/>
        <v>0</v>
      </c>
      <c r="G22" s="205">
        <f t="shared" si="1"/>
        <v>0</v>
      </c>
    </row>
    <row r="23" spans="1:7" s="59" customFormat="1" ht="20.25" customHeight="1" x14ac:dyDescent="0.25">
      <c r="A23" s="160">
        <v>13</v>
      </c>
      <c r="B23" s="288" t="s">
        <v>4073</v>
      </c>
      <c r="C23" s="60">
        <v>1</v>
      </c>
      <c r="D23" s="205">
        <v>200</v>
      </c>
      <c r="E23" s="205">
        <v>0</v>
      </c>
      <c r="F23" s="205">
        <f t="shared" si="0"/>
        <v>0</v>
      </c>
      <c r="G23" s="205">
        <f t="shared" si="1"/>
        <v>0</v>
      </c>
    </row>
    <row r="24" spans="1:7" s="59" customFormat="1" ht="20.25" customHeight="1" x14ac:dyDescent="0.25">
      <c r="A24" s="160">
        <v>14</v>
      </c>
      <c r="B24" s="288" t="s">
        <v>4154</v>
      </c>
      <c r="C24" s="60">
        <v>8</v>
      </c>
      <c r="D24" s="205">
        <v>200</v>
      </c>
      <c r="E24" s="205">
        <v>0</v>
      </c>
      <c r="F24" s="205">
        <f t="shared" ref="F24" si="2">D24*E24</f>
        <v>0</v>
      </c>
      <c r="G24" s="205">
        <f t="shared" ref="G24" si="3">C24*F24*12</f>
        <v>0</v>
      </c>
    </row>
    <row r="25" spans="1:7" s="59" customFormat="1" ht="20.25" customHeight="1" x14ac:dyDescent="0.2">
      <c r="A25" s="57"/>
      <c r="B25" s="203"/>
      <c r="C25" s="60"/>
      <c r="D25" s="60"/>
      <c r="E25" s="60"/>
      <c r="F25" s="290" t="s">
        <v>3825</v>
      </c>
      <c r="G25" s="218">
        <f>SUM(G11:G24)</f>
        <v>0</v>
      </c>
    </row>
    <row r="26" spans="1:7" hidden="1" x14ac:dyDescent="0.2">
      <c r="A26" s="38"/>
      <c r="B26" s="38"/>
      <c r="C26" s="38"/>
      <c r="D26" s="284">
        <v>330</v>
      </c>
      <c r="E26" s="38"/>
      <c r="G26" s="59"/>
    </row>
    <row r="27" spans="1:7" ht="15" hidden="1" x14ac:dyDescent="0.2">
      <c r="B27" s="791" t="s">
        <v>3847</v>
      </c>
      <c r="C27" s="791"/>
      <c r="D27" s="791"/>
      <c r="E27" s="791"/>
      <c r="F27" s="791"/>
    </row>
    <row r="28" spans="1:7" s="23" customFormat="1" ht="17.25" customHeight="1" x14ac:dyDescent="0.2">
      <c r="A28" s="21"/>
    </row>
    <row r="29" spans="1:7" s="23" customFormat="1" ht="18" customHeight="1" x14ac:dyDescent="0.2">
      <c r="A29" s="42"/>
      <c r="B29" s="25"/>
    </row>
    <row r="30" spans="1:7" s="23" customFormat="1" ht="15" x14ac:dyDescent="0.2">
      <c r="A30" s="42"/>
      <c r="B30" s="286"/>
    </row>
    <row r="31" spans="1:7" s="23" customFormat="1" ht="15" x14ac:dyDescent="0.2">
      <c r="A31" s="42"/>
      <c r="B31" s="206"/>
    </row>
    <row r="32" spans="1:7" s="23" customFormat="1" ht="15" x14ac:dyDescent="0.2">
      <c r="A32" s="206"/>
    </row>
    <row r="33" spans="1:2" s="23" customFormat="1" ht="15" x14ac:dyDescent="0.2">
      <c r="A33" s="792"/>
      <c r="B33" s="793"/>
    </row>
    <row r="34" spans="1:2" s="23" customFormat="1" ht="15" customHeight="1" x14ac:dyDescent="0.2">
      <c r="A34" s="788"/>
      <c r="B34" s="788"/>
    </row>
    <row r="35" spans="1:2" s="23" customFormat="1" ht="15" x14ac:dyDescent="0.2">
      <c r="A35" s="788"/>
      <c r="B35" s="788"/>
    </row>
    <row r="36" spans="1:2" s="23" customFormat="1" ht="15" x14ac:dyDescent="0.2">
      <c r="A36" s="788"/>
      <c r="B36" s="788"/>
    </row>
    <row r="37" spans="1:2" s="23" customFormat="1" ht="15" x14ac:dyDescent="0.2">
      <c r="A37" s="206"/>
      <c r="B37" s="206"/>
    </row>
  </sheetData>
  <mergeCells count="8">
    <mergeCell ref="E1:G1"/>
    <mergeCell ref="E2:G2"/>
    <mergeCell ref="A36:B36"/>
    <mergeCell ref="B7:G7"/>
    <mergeCell ref="B27:F27"/>
    <mergeCell ref="A33:B33"/>
    <mergeCell ref="A34:B34"/>
    <mergeCell ref="A35:B35"/>
  </mergeCells>
  <pageMargins left="0.7" right="0.7" top="0.75" bottom="0.75" header="0.3" footer="0.3"/>
  <pageSetup paperSize="9" scale="7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34"/>
  <sheetViews>
    <sheetView workbookViewId="0">
      <selection activeCell="E41" sqref="E41"/>
    </sheetView>
  </sheetViews>
  <sheetFormatPr defaultRowHeight="12.75" x14ac:dyDescent="0.2"/>
  <cols>
    <col min="1" max="1" width="3.7109375" customWidth="1"/>
    <col min="2" max="2" width="36.5703125" bestFit="1" customWidth="1"/>
    <col min="3" max="3" width="13.28515625" bestFit="1" customWidth="1"/>
    <col min="4" max="4" width="12.42578125" bestFit="1" customWidth="1"/>
    <col min="5" max="5" width="11.7109375" bestFit="1" customWidth="1"/>
    <col min="6" max="6" width="14.85546875" customWidth="1"/>
    <col min="7" max="7" width="18.42578125" bestFit="1" customWidth="1"/>
    <col min="9" max="9" width="12.140625" customWidth="1"/>
  </cols>
  <sheetData>
    <row r="1" spans="1:7" s="24" customFormat="1" ht="15" x14ac:dyDescent="0.2">
      <c r="E1" s="801" t="s">
        <v>4036</v>
      </c>
      <c r="F1" s="801"/>
      <c r="G1" s="801"/>
    </row>
    <row r="2" spans="1:7" s="24" customFormat="1" ht="15" x14ac:dyDescent="0.2">
      <c r="E2" s="844" t="s">
        <v>68</v>
      </c>
      <c r="F2" s="844"/>
      <c r="G2" s="844"/>
    </row>
    <row r="3" spans="1:7" s="24" customFormat="1" ht="15" x14ac:dyDescent="0.2"/>
    <row r="4" spans="1:7" s="24" customFormat="1" ht="15" x14ac:dyDescent="0.2"/>
    <row r="5" spans="1:7" s="24" customFormat="1" ht="15" x14ac:dyDescent="0.2"/>
    <row r="6" spans="1:7" ht="15.75" x14ac:dyDescent="0.25">
      <c r="A6" s="10"/>
      <c r="B6" s="10"/>
    </row>
    <row r="7" spans="1:7" ht="36.75" customHeight="1" x14ac:dyDescent="0.2">
      <c r="A7" s="11"/>
      <c r="B7" s="823" t="s">
        <v>4173</v>
      </c>
      <c r="C7" s="823"/>
      <c r="D7" s="823"/>
      <c r="E7" s="823"/>
      <c r="F7" s="823"/>
      <c r="G7" s="823"/>
    </row>
    <row r="8" spans="1:7" x14ac:dyDescent="0.2">
      <c r="A8" s="12"/>
      <c r="B8" s="12"/>
    </row>
    <row r="9" spans="1:7" s="53" customFormat="1" ht="31.15" customHeight="1" x14ac:dyDescent="0.2">
      <c r="A9" s="202" t="s">
        <v>4105</v>
      </c>
      <c r="B9" s="202" t="s">
        <v>4061</v>
      </c>
      <c r="C9" s="306" t="s">
        <v>4155</v>
      </c>
      <c r="D9" s="291" t="s">
        <v>4197</v>
      </c>
      <c r="E9" s="291" t="s">
        <v>4198</v>
      </c>
      <c r="F9" s="291" t="s">
        <v>4199</v>
      </c>
      <c r="G9" s="304" t="s">
        <v>3967</v>
      </c>
    </row>
    <row r="10" spans="1:7" s="56" customFormat="1" ht="11.25" x14ac:dyDescent="0.2">
      <c r="A10" s="54">
        <v>1</v>
      </c>
      <c r="B10" s="230">
        <v>2</v>
      </c>
      <c r="C10" s="54">
        <v>3</v>
      </c>
      <c r="D10" s="230">
        <v>4</v>
      </c>
      <c r="E10" s="54">
        <v>5</v>
      </c>
      <c r="F10" s="230">
        <v>6</v>
      </c>
      <c r="G10" s="54">
        <v>7</v>
      </c>
    </row>
    <row r="11" spans="1:7" s="59" customFormat="1" ht="20.25" customHeight="1" x14ac:dyDescent="0.25">
      <c r="A11" s="209">
        <v>1</v>
      </c>
      <c r="B11" s="233" t="s">
        <v>4068</v>
      </c>
      <c r="C11" s="60">
        <v>1</v>
      </c>
      <c r="D11" s="205">
        <v>200</v>
      </c>
      <c r="E11" s="205">
        <v>0</v>
      </c>
      <c r="F11" s="205">
        <f t="shared" ref="F11:F21" si="0">D11*E11</f>
        <v>0</v>
      </c>
      <c r="G11" s="205">
        <f t="shared" ref="G11:G21" si="1">C11*F11*12</f>
        <v>0</v>
      </c>
    </row>
    <row r="12" spans="1:7" s="59" customFormat="1" ht="20.25" customHeight="1" x14ac:dyDescent="0.25">
      <c r="A12" s="209">
        <v>2</v>
      </c>
      <c r="B12" s="233" t="s">
        <v>4071</v>
      </c>
      <c r="C12" s="60">
        <v>1</v>
      </c>
      <c r="D12" s="205">
        <v>200</v>
      </c>
      <c r="E12" s="205">
        <v>0</v>
      </c>
      <c r="F12" s="205">
        <f t="shared" si="0"/>
        <v>0</v>
      </c>
      <c r="G12" s="205">
        <f t="shared" si="1"/>
        <v>0</v>
      </c>
    </row>
    <row r="13" spans="1:7" s="59" customFormat="1" ht="20.25" customHeight="1" x14ac:dyDescent="0.25">
      <c r="A13" s="239">
        <v>3</v>
      </c>
      <c r="B13" s="233" t="s">
        <v>4108</v>
      </c>
      <c r="C13" s="60">
        <v>1</v>
      </c>
      <c r="D13" s="205">
        <v>200</v>
      </c>
      <c r="E13" s="205">
        <v>0</v>
      </c>
      <c r="F13" s="205">
        <f t="shared" si="0"/>
        <v>0</v>
      </c>
      <c r="G13" s="205">
        <f t="shared" si="1"/>
        <v>0</v>
      </c>
    </row>
    <row r="14" spans="1:7" s="59" customFormat="1" ht="20.25" customHeight="1" x14ac:dyDescent="0.25">
      <c r="A14" s="209">
        <v>3</v>
      </c>
      <c r="B14" s="233" t="s">
        <v>4082</v>
      </c>
      <c r="C14" s="60">
        <v>2</v>
      </c>
      <c r="D14" s="205">
        <v>200</v>
      </c>
      <c r="E14" s="205">
        <v>0</v>
      </c>
      <c r="F14" s="205">
        <f t="shared" si="0"/>
        <v>0</v>
      </c>
      <c r="G14" s="205">
        <f t="shared" si="1"/>
        <v>0</v>
      </c>
    </row>
    <row r="15" spans="1:7" s="59" customFormat="1" ht="20.25" customHeight="1" x14ac:dyDescent="0.25">
      <c r="A15" s="209">
        <v>4</v>
      </c>
      <c r="B15" s="233" t="s">
        <v>4083</v>
      </c>
      <c r="C15" s="60">
        <v>1</v>
      </c>
      <c r="D15" s="205">
        <v>200</v>
      </c>
      <c r="E15" s="205">
        <v>0</v>
      </c>
      <c r="F15" s="205">
        <f t="shared" si="0"/>
        <v>0</v>
      </c>
      <c r="G15" s="205">
        <f t="shared" si="1"/>
        <v>0</v>
      </c>
    </row>
    <row r="16" spans="1:7" s="59" customFormat="1" ht="20.25" customHeight="1" x14ac:dyDescent="0.25">
      <c r="A16" s="209">
        <v>5</v>
      </c>
      <c r="B16" s="233" t="s">
        <v>4070</v>
      </c>
      <c r="C16" s="60">
        <v>1</v>
      </c>
      <c r="D16" s="205">
        <v>200</v>
      </c>
      <c r="E16" s="205">
        <v>0</v>
      </c>
      <c r="F16" s="205">
        <f t="shared" si="0"/>
        <v>0</v>
      </c>
      <c r="G16" s="205">
        <f t="shared" si="1"/>
        <v>0</v>
      </c>
    </row>
    <row r="17" spans="1:7" s="59" customFormat="1" ht="20.25" customHeight="1" x14ac:dyDescent="0.25">
      <c r="A17" s="209">
        <v>6</v>
      </c>
      <c r="B17" s="233" t="s">
        <v>4078</v>
      </c>
      <c r="C17" s="60">
        <v>1</v>
      </c>
      <c r="D17" s="205">
        <v>200</v>
      </c>
      <c r="E17" s="205">
        <v>0</v>
      </c>
      <c r="F17" s="205">
        <f t="shared" si="0"/>
        <v>0</v>
      </c>
      <c r="G17" s="205">
        <f t="shared" si="1"/>
        <v>0</v>
      </c>
    </row>
    <row r="18" spans="1:7" s="59" customFormat="1" ht="20.25" customHeight="1" x14ac:dyDescent="0.25">
      <c r="A18" s="209">
        <v>7</v>
      </c>
      <c r="B18" s="233" t="s">
        <v>4081</v>
      </c>
      <c r="C18" s="60">
        <v>1</v>
      </c>
      <c r="D18" s="205">
        <v>200</v>
      </c>
      <c r="E18" s="205">
        <v>0</v>
      </c>
      <c r="F18" s="205">
        <f t="shared" si="0"/>
        <v>0</v>
      </c>
      <c r="G18" s="205">
        <f t="shared" si="1"/>
        <v>0</v>
      </c>
    </row>
    <row r="19" spans="1:7" s="59" customFormat="1" ht="20.25" customHeight="1" x14ac:dyDescent="0.25">
      <c r="A19" s="209">
        <v>8</v>
      </c>
      <c r="B19" s="233" t="s">
        <v>4069</v>
      </c>
      <c r="C19" s="60">
        <v>1</v>
      </c>
      <c r="D19" s="205">
        <v>200</v>
      </c>
      <c r="E19" s="205">
        <v>0</v>
      </c>
      <c r="F19" s="205">
        <f t="shared" si="0"/>
        <v>0</v>
      </c>
      <c r="G19" s="205">
        <f t="shared" si="1"/>
        <v>0</v>
      </c>
    </row>
    <row r="20" spans="1:7" s="59" customFormat="1" ht="20.25" customHeight="1" x14ac:dyDescent="0.25">
      <c r="A20" s="209">
        <v>9</v>
      </c>
      <c r="B20" s="233" t="s">
        <v>4080</v>
      </c>
      <c r="C20" s="60">
        <v>2</v>
      </c>
      <c r="D20" s="205">
        <v>200</v>
      </c>
      <c r="E20" s="205">
        <v>0</v>
      </c>
      <c r="F20" s="205">
        <f t="shared" si="0"/>
        <v>0</v>
      </c>
      <c r="G20" s="205">
        <f t="shared" si="1"/>
        <v>0</v>
      </c>
    </row>
    <row r="21" spans="1:7" s="59" customFormat="1" ht="20.25" customHeight="1" x14ac:dyDescent="0.25">
      <c r="A21" s="209">
        <v>10</v>
      </c>
      <c r="B21" s="233" t="s">
        <v>4073</v>
      </c>
      <c r="C21" s="60">
        <v>1</v>
      </c>
      <c r="D21" s="205">
        <v>200</v>
      </c>
      <c r="E21" s="205">
        <v>0</v>
      </c>
      <c r="F21" s="205">
        <f t="shared" si="0"/>
        <v>0</v>
      </c>
      <c r="G21" s="205">
        <f t="shared" si="1"/>
        <v>0</v>
      </c>
    </row>
    <row r="22" spans="1:7" ht="15" x14ac:dyDescent="0.2">
      <c r="A22" s="214"/>
      <c r="B22" s="232"/>
      <c r="C22" s="216"/>
      <c r="D22" s="216"/>
      <c r="E22" s="216"/>
      <c r="F22" s="217" t="s">
        <v>3825</v>
      </c>
      <c r="G22" s="218">
        <f>SUM(G11:G21)</f>
        <v>0</v>
      </c>
    </row>
    <row r="23" spans="1:7" x14ac:dyDescent="0.2">
      <c r="A23" s="38"/>
      <c r="B23" s="38"/>
      <c r="C23" s="38"/>
      <c r="D23" s="38"/>
      <c r="E23" s="38"/>
      <c r="G23" s="59"/>
    </row>
    <row r="24" spans="1:7" s="23" customFormat="1" ht="17.25" hidden="1" customHeight="1" x14ac:dyDescent="0.2">
      <c r="A24"/>
      <c r="B24" s="791" t="s">
        <v>3847</v>
      </c>
      <c r="C24" s="791"/>
      <c r="D24" s="791"/>
      <c r="E24" s="791"/>
      <c r="F24" s="791"/>
      <c r="G24"/>
    </row>
    <row r="25" spans="1:7" s="23" customFormat="1" ht="18" customHeight="1" x14ac:dyDescent="0.2">
      <c r="A25" s="21"/>
    </row>
    <row r="26" spans="1:7" s="23" customFormat="1" ht="15" x14ac:dyDescent="0.2">
      <c r="A26" s="42"/>
      <c r="B26" s="25"/>
    </row>
    <row r="27" spans="1:7" s="23" customFormat="1" ht="15" x14ac:dyDescent="0.2">
      <c r="A27" s="42"/>
      <c r="B27" s="206"/>
    </row>
    <row r="28" spans="1:7" s="23" customFormat="1" ht="15" x14ac:dyDescent="0.2">
      <c r="A28" s="42"/>
      <c r="B28" s="206"/>
    </row>
    <row r="29" spans="1:7" s="23" customFormat="1" ht="15" x14ac:dyDescent="0.2">
      <c r="A29" s="206"/>
    </row>
    <row r="30" spans="1:7" s="23" customFormat="1" ht="15" customHeight="1" x14ac:dyDescent="0.2">
      <c r="A30" s="792"/>
      <c r="B30" s="793"/>
    </row>
    <row r="31" spans="1:7" s="23" customFormat="1" ht="15" x14ac:dyDescent="0.2">
      <c r="A31" s="788"/>
      <c r="B31" s="788"/>
    </row>
    <row r="32" spans="1:7" s="23" customFormat="1" ht="15" x14ac:dyDescent="0.2">
      <c r="A32" s="788"/>
      <c r="B32" s="788"/>
    </row>
    <row r="33" spans="1:7" s="23" customFormat="1" ht="15" x14ac:dyDescent="0.2">
      <c r="A33" s="788"/>
      <c r="B33" s="788"/>
    </row>
    <row r="34" spans="1:7" ht="15" x14ac:dyDescent="0.2">
      <c r="A34" s="206"/>
      <c r="B34" s="206"/>
      <c r="C34" s="23"/>
      <c r="D34" s="23"/>
      <c r="E34" s="23"/>
      <c r="F34" s="23"/>
      <c r="G34" s="23"/>
    </row>
  </sheetData>
  <mergeCells count="8">
    <mergeCell ref="E1:G1"/>
    <mergeCell ref="E2:G2"/>
    <mergeCell ref="A33:B33"/>
    <mergeCell ref="B7:G7"/>
    <mergeCell ref="B24:F24"/>
    <mergeCell ref="A30:B30"/>
    <mergeCell ref="A31:B31"/>
    <mergeCell ref="A32:B32"/>
  </mergeCells>
  <pageMargins left="0.7" right="0.7" top="0.75" bottom="0.75" header="0.3" footer="0.3"/>
  <pageSetup paperSize="9" scale="8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25"/>
  <sheetViews>
    <sheetView workbookViewId="0">
      <selection activeCell="O36" sqref="O36"/>
    </sheetView>
  </sheetViews>
  <sheetFormatPr defaultRowHeight="12.75" x14ac:dyDescent="0.2"/>
  <cols>
    <col min="1" max="1" width="3.7109375" customWidth="1"/>
    <col min="2" max="2" width="38.42578125" bestFit="1" customWidth="1"/>
    <col min="3" max="3" width="6.7109375" bestFit="1" customWidth="1"/>
    <col min="4" max="4" width="12.42578125" bestFit="1" customWidth="1"/>
    <col min="5" max="5" width="11.7109375" bestFit="1" customWidth="1"/>
    <col min="6" max="6" width="11.140625" bestFit="1" customWidth="1"/>
    <col min="7" max="7" width="18.42578125" bestFit="1" customWidth="1"/>
    <col min="9" max="9" width="12" customWidth="1"/>
  </cols>
  <sheetData>
    <row r="1" spans="1:7" s="24" customFormat="1" ht="15" x14ac:dyDescent="0.2">
      <c r="E1" s="801" t="s">
        <v>4572</v>
      </c>
      <c r="F1" s="801"/>
      <c r="G1" s="801"/>
    </row>
    <row r="2" spans="1:7" s="24" customFormat="1" ht="15" x14ac:dyDescent="0.2">
      <c r="E2" s="786" t="s">
        <v>4586</v>
      </c>
      <c r="F2" s="786"/>
      <c r="G2" s="786"/>
    </row>
    <row r="3" spans="1:7" s="24" customFormat="1" ht="15" x14ac:dyDescent="0.2"/>
    <row r="4" spans="1:7" s="24" customFormat="1" ht="15" x14ac:dyDescent="0.2"/>
    <row r="5" spans="1:7" s="24" customFormat="1" ht="15" x14ac:dyDescent="0.2"/>
    <row r="6" spans="1:7" ht="15.75" x14ac:dyDescent="0.25">
      <c r="A6" s="10"/>
      <c r="B6" s="10"/>
    </row>
    <row r="7" spans="1:7" ht="48" customHeight="1" x14ac:dyDescent="0.2">
      <c r="A7" s="11"/>
      <c r="B7" s="823" t="s">
        <v>4090</v>
      </c>
      <c r="C7" s="823"/>
      <c r="D7" s="823"/>
      <c r="E7" s="823"/>
      <c r="F7" s="823"/>
      <c r="G7" s="823"/>
    </row>
    <row r="8" spans="1:7" x14ac:dyDescent="0.2">
      <c r="A8" s="12"/>
      <c r="B8" s="12"/>
    </row>
    <row r="9" spans="1:7" s="53" customFormat="1" ht="31.15" customHeight="1" x14ac:dyDescent="0.2">
      <c r="A9" s="202" t="s">
        <v>4105</v>
      </c>
      <c r="B9" s="202" t="s">
        <v>4061</v>
      </c>
      <c r="C9" s="306" t="s">
        <v>4115</v>
      </c>
      <c r="D9" s="291" t="s">
        <v>4369</v>
      </c>
      <c r="E9" s="291" t="s">
        <v>4580</v>
      </c>
      <c r="F9" s="291" t="s">
        <v>4360</v>
      </c>
      <c r="G9" s="304" t="s">
        <v>3967</v>
      </c>
    </row>
    <row r="10" spans="1:7" s="56" customFormat="1" ht="11.25" x14ac:dyDescent="0.2">
      <c r="A10" s="54">
        <v>1</v>
      </c>
      <c r="B10" s="230">
        <v>2</v>
      </c>
      <c r="C10" s="54">
        <v>3</v>
      </c>
      <c r="D10" s="230">
        <v>4</v>
      </c>
      <c r="E10" s="54">
        <v>5</v>
      </c>
      <c r="F10" s="230">
        <v>6</v>
      </c>
      <c r="G10" s="54">
        <v>7</v>
      </c>
    </row>
    <row r="11" spans="1:7" s="59" customFormat="1" ht="30.75" customHeight="1" x14ac:dyDescent="0.25">
      <c r="A11" s="212">
        <v>1</v>
      </c>
      <c r="B11" s="233" t="s">
        <v>4084</v>
      </c>
      <c r="C11" s="60">
        <v>1</v>
      </c>
      <c r="D11" s="205">
        <v>6651.16</v>
      </c>
      <c r="E11" s="205">
        <v>1</v>
      </c>
      <c r="F11" s="205">
        <f>D11*E11</f>
        <v>6651.16</v>
      </c>
      <c r="G11" s="205">
        <f>C11*F11*12</f>
        <v>79813.919999999998</v>
      </c>
    </row>
    <row r="12" spans="1:7" s="59" customFormat="1" ht="27.75" customHeight="1" x14ac:dyDescent="0.25">
      <c r="A12" s="212">
        <v>2</v>
      </c>
      <c r="B12" s="233" t="s">
        <v>4085</v>
      </c>
      <c r="C12" s="60">
        <v>1</v>
      </c>
      <c r="D12" s="205">
        <v>8948.84</v>
      </c>
      <c r="E12" s="205">
        <v>1</v>
      </c>
      <c r="F12" s="205">
        <f>D12*E12</f>
        <v>8948.84</v>
      </c>
      <c r="G12" s="205">
        <f>C12*F12*12</f>
        <v>107386.08</v>
      </c>
    </row>
    <row r="13" spans="1:7" s="59" customFormat="1" ht="20.25" customHeight="1" x14ac:dyDescent="0.2">
      <c r="A13" s="214"/>
      <c r="B13" s="232"/>
      <c r="C13" s="216"/>
      <c r="D13" s="216"/>
      <c r="E13" s="216"/>
      <c r="F13" s="217" t="s">
        <v>3825</v>
      </c>
      <c r="G13" s="218">
        <f>SUM(G11:G12)</f>
        <v>187200</v>
      </c>
    </row>
    <row r="14" spans="1:7" ht="13.5" customHeight="1" x14ac:dyDescent="0.2">
      <c r="A14" s="38"/>
      <c r="B14" s="38"/>
      <c r="C14" s="38"/>
      <c r="D14" s="38"/>
      <c r="E14" s="38"/>
      <c r="G14" s="59"/>
    </row>
    <row r="15" spans="1:7" ht="15" hidden="1" x14ac:dyDescent="0.2">
      <c r="B15" s="791" t="s">
        <v>3847</v>
      </c>
      <c r="C15" s="791"/>
      <c r="D15" s="791"/>
      <c r="E15" s="791"/>
      <c r="F15" s="791"/>
    </row>
    <row r="16" spans="1:7" s="23" customFormat="1" ht="17.25" customHeight="1" x14ac:dyDescent="0.2">
      <c r="A16" s="21"/>
    </row>
    <row r="17" spans="1:2" s="23" customFormat="1" ht="18" customHeight="1" x14ac:dyDescent="0.2">
      <c r="A17" s="42"/>
      <c r="B17" s="25"/>
    </row>
    <row r="18" spans="1:2" s="23" customFormat="1" ht="15" x14ac:dyDescent="0.2">
      <c r="A18" s="42"/>
      <c r="B18" s="210"/>
    </row>
    <row r="19" spans="1:2" s="23" customFormat="1" ht="15" x14ac:dyDescent="0.2">
      <c r="A19" s="42"/>
      <c r="B19" s="210"/>
    </row>
    <row r="20" spans="1:2" s="23" customFormat="1" ht="15" x14ac:dyDescent="0.2">
      <c r="A20" s="210"/>
    </row>
    <row r="21" spans="1:2" s="23" customFormat="1" ht="15" x14ac:dyDescent="0.2">
      <c r="A21" s="792"/>
      <c r="B21" s="793"/>
    </row>
    <row r="22" spans="1:2" s="23" customFormat="1" ht="15" customHeight="1" x14ac:dyDescent="0.2">
      <c r="A22" s="788"/>
      <c r="B22" s="788"/>
    </row>
    <row r="23" spans="1:2" s="23" customFormat="1" ht="15" x14ac:dyDescent="0.2">
      <c r="A23" s="788"/>
      <c r="B23" s="788"/>
    </row>
    <row r="24" spans="1:2" s="23" customFormat="1" ht="15" x14ac:dyDescent="0.2">
      <c r="A24" s="788"/>
      <c r="B24" s="788"/>
    </row>
    <row r="25" spans="1:2" s="23" customFormat="1" ht="15" x14ac:dyDescent="0.2">
      <c r="A25" s="210"/>
      <c r="B25" s="210"/>
    </row>
  </sheetData>
  <mergeCells count="8">
    <mergeCell ref="E1:G1"/>
    <mergeCell ref="E2:G2"/>
    <mergeCell ref="A24:B24"/>
    <mergeCell ref="B7:G7"/>
    <mergeCell ref="B15:F15"/>
    <mergeCell ref="A21:B21"/>
    <mergeCell ref="A22:B22"/>
    <mergeCell ref="A23:B2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26"/>
  <sheetViews>
    <sheetView workbookViewId="0">
      <selection activeCell="E1" sqref="E1:G1"/>
    </sheetView>
  </sheetViews>
  <sheetFormatPr defaultRowHeight="12.75" x14ac:dyDescent="0.2"/>
  <cols>
    <col min="1" max="1" width="3.7109375" customWidth="1"/>
    <col min="2" max="2" width="29" bestFit="1" customWidth="1"/>
    <col min="3" max="3" width="6.7109375" bestFit="1" customWidth="1"/>
    <col min="4" max="4" width="12.42578125" bestFit="1" customWidth="1"/>
    <col min="5" max="5" width="11.5703125" customWidth="1"/>
    <col min="6" max="6" width="11.140625" bestFit="1" customWidth="1"/>
    <col min="7" max="7" width="18.42578125" bestFit="1" customWidth="1"/>
    <col min="9" max="9" width="12.42578125" customWidth="1"/>
  </cols>
  <sheetData>
    <row r="1" spans="1:7" s="24" customFormat="1" ht="15" x14ac:dyDescent="0.2">
      <c r="E1" s="801" t="s">
        <v>4687</v>
      </c>
      <c r="F1" s="801"/>
      <c r="G1" s="801"/>
    </row>
    <row r="2" spans="1:7" s="24" customFormat="1" ht="15" x14ac:dyDescent="0.2">
      <c r="E2" s="786" t="s">
        <v>4586</v>
      </c>
      <c r="F2" s="786"/>
      <c r="G2" s="786"/>
    </row>
    <row r="3" spans="1:7" s="24" customFormat="1" ht="15" x14ac:dyDescent="0.2"/>
    <row r="4" spans="1:7" s="24" customFormat="1" ht="15" x14ac:dyDescent="0.2"/>
    <row r="5" spans="1:7" s="24" customFormat="1" ht="15" x14ac:dyDescent="0.2"/>
    <row r="6" spans="1:7" ht="15.75" x14ac:dyDescent="0.25">
      <c r="A6" s="10"/>
      <c r="B6" s="10"/>
    </row>
    <row r="7" spans="1:7" ht="48" customHeight="1" x14ac:dyDescent="0.2">
      <c r="A7" s="11"/>
      <c r="B7" s="823" t="s">
        <v>4097</v>
      </c>
      <c r="C7" s="823"/>
      <c r="D7" s="823"/>
      <c r="E7" s="823"/>
      <c r="F7" s="823"/>
      <c r="G7" s="823"/>
    </row>
    <row r="8" spans="1:7" x14ac:dyDescent="0.2">
      <c r="A8" s="12"/>
      <c r="B8" s="12"/>
    </row>
    <row r="9" spans="1:7" s="53" customFormat="1" ht="31.15" customHeight="1" x14ac:dyDescent="0.2">
      <c r="A9" s="51" t="s">
        <v>4105</v>
      </c>
      <c r="B9" s="51" t="s">
        <v>4061</v>
      </c>
      <c r="C9" s="272" t="s">
        <v>4115</v>
      </c>
      <c r="D9" s="291" t="s">
        <v>4369</v>
      </c>
      <c r="E9" s="291" t="s">
        <v>4580</v>
      </c>
      <c r="F9" s="291" t="s">
        <v>4360</v>
      </c>
      <c r="G9" s="211" t="s">
        <v>3967</v>
      </c>
    </row>
    <row r="10" spans="1:7" s="56" customFormat="1" ht="11.25" x14ac:dyDescent="0.2">
      <c r="A10" s="54">
        <v>1</v>
      </c>
      <c r="B10" s="230">
        <v>2</v>
      </c>
      <c r="C10" s="54">
        <v>3</v>
      </c>
      <c r="D10" s="230">
        <v>4</v>
      </c>
      <c r="E10" s="54">
        <v>5</v>
      </c>
      <c r="F10" s="230">
        <v>6</v>
      </c>
      <c r="G10" s="54">
        <v>7</v>
      </c>
    </row>
    <row r="11" spans="1:7" s="59" customFormat="1" ht="20.25" customHeight="1" x14ac:dyDescent="0.25">
      <c r="A11" s="160">
        <v>1</v>
      </c>
      <c r="B11" s="309" t="s">
        <v>4094</v>
      </c>
      <c r="C11" s="60">
        <v>3</v>
      </c>
      <c r="D11" s="577">
        <v>2000</v>
      </c>
      <c r="E11" s="205">
        <v>1</v>
      </c>
      <c r="F11" s="205">
        <f>D11*E11</f>
        <v>2000</v>
      </c>
      <c r="G11" s="205">
        <f t="shared" ref="G11" si="0">C11*F11*12</f>
        <v>72000</v>
      </c>
    </row>
    <row r="12" spans="1:7" s="59" customFormat="1" ht="20.25" customHeight="1" x14ac:dyDescent="0.25">
      <c r="A12" s="160">
        <v>2</v>
      </c>
      <c r="B12" s="309" t="s">
        <v>4095</v>
      </c>
      <c r="C12" s="60">
        <v>1</v>
      </c>
      <c r="D12" s="577">
        <v>2000</v>
      </c>
      <c r="E12" s="205">
        <v>1</v>
      </c>
      <c r="F12" s="205">
        <f>D12*E12</f>
        <v>2000</v>
      </c>
      <c r="G12" s="205">
        <f>C12*F12*12</f>
        <v>24000</v>
      </c>
    </row>
    <row r="13" spans="1:7" s="59" customFormat="1" ht="20.25" customHeight="1" x14ac:dyDescent="0.25">
      <c r="A13" s="160">
        <v>3</v>
      </c>
      <c r="B13" s="310" t="s">
        <v>4096</v>
      </c>
      <c r="C13" s="60">
        <v>1</v>
      </c>
      <c r="D13" s="577">
        <v>2000</v>
      </c>
      <c r="E13" s="205">
        <v>1</v>
      </c>
      <c r="F13" s="205">
        <f>D13*E13</f>
        <v>2000</v>
      </c>
      <c r="G13" s="205">
        <f>C13*F13*12</f>
        <v>24000</v>
      </c>
    </row>
    <row r="14" spans="1:7" s="59" customFormat="1" ht="20.25" customHeight="1" x14ac:dyDescent="0.2">
      <c r="A14" s="214"/>
      <c r="B14" s="232"/>
      <c r="C14" s="216"/>
      <c r="D14" s="216"/>
      <c r="E14" s="216"/>
      <c r="F14" s="217" t="s">
        <v>3825</v>
      </c>
      <c r="G14" s="218">
        <f>SUM(G11:G13)</f>
        <v>120000</v>
      </c>
    </row>
    <row r="15" spans="1:7" x14ac:dyDescent="0.2">
      <c r="A15" s="38"/>
      <c r="B15" s="38"/>
      <c r="C15" s="38"/>
      <c r="D15" s="38"/>
      <c r="E15" s="38"/>
      <c r="G15" s="59"/>
    </row>
    <row r="16" spans="1:7" ht="15" hidden="1" x14ac:dyDescent="0.2">
      <c r="B16" s="791" t="s">
        <v>3847</v>
      </c>
      <c r="C16" s="791"/>
      <c r="D16" s="791"/>
      <c r="E16" s="791"/>
      <c r="F16" s="791"/>
    </row>
    <row r="17" spans="1:2" s="23" customFormat="1" ht="17.25" customHeight="1" x14ac:dyDescent="0.2">
      <c r="A17" s="21"/>
    </row>
    <row r="18" spans="1:2" s="23" customFormat="1" ht="18" customHeight="1" x14ac:dyDescent="0.2">
      <c r="A18" s="42"/>
      <c r="B18" s="25"/>
    </row>
    <row r="19" spans="1:2" s="23" customFormat="1" ht="15" x14ac:dyDescent="0.2">
      <c r="A19" s="42"/>
      <c r="B19" s="210"/>
    </row>
    <row r="20" spans="1:2" s="23" customFormat="1" ht="15" x14ac:dyDescent="0.2">
      <c r="A20" s="42"/>
      <c r="B20" s="210"/>
    </row>
    <row r="21" spans="1:2" s="23" customFormat="1" ht="15" x14ac:dyDescent="0.2">
      <c r="A21" s="210"/>
    </row>
    <row r="22" spans="1:2" s="23" customFormat="1" ht="15" x14ac:dyDescent="0.2">
      <c r="A22" s="792"/>
      <c r="B22" s="793"/>
    </row>
    <row r="23" spans="1:2" s="23" customFormat="1" ht="15" customHeight="1" x14ac:dyDescent="0.2">
      <c r="A23" s="788"/>
      <c r="B23" s="788"/>
    </row>
    <row r="24" spans="1:2" s="23" customFormat="1" ht="15" x14ac:dyDescent="0.2">
      <c r="A24" s="788"/>
      <c r="B24" s="788"/>
    </row>
    <row r="25" spans="1:2" s="23" customFormat="1" ht="15" x14ac:dyDescent="0.2">
      <c r="A25" s="788"/>
      <c r="B25" s="788"/>
    </row>
    <row r="26" spans="1:2" s="23" customFormat="1" ht="15" x14ac:dyDescent="0.2">
      <c r="A26" s="210"/>
      <c r="B26" s="210"/>
    </row>
  </sheetData>
  <mergeCells count="8">
    <mergeCell ref="E1:G1"/>
    <mergeCell ref="E2:G2"/>
    <mergeCell ref="A25:B25"/>
    <mergeCell ref="B7:G7"/>
    <mergeCell ref="B16:F16"/>
    <mergeCell ref="A22:B22"/>
    <mergeCell ref="A23:B23"/>
    <mergeCell ref="A24:B2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24"/>
  <sheetViews>
    <sheetView workbookViewId="0">
      <selection activeCell="E1" sqref="E1:G1"/>
    </sheetView>
  </sheetViews>
  <sheetFormatPr defaultRowHeight="12.75" x14ac:dyDescent="0.2"/>
  <cols>
    <col min="1" max="1" width="3.7109375" customWidth="1"/>
    <col min="2" max="2" width="37.140625" bestFit="1" customWidth="1"/>
    <col min="3" max="3" width="6.7109375" bestFit="1" customWidth="1"/>
    <col min="4" max="4" width="12.42578125" customWidth="1"/>
    <col min="5" max="5" width="11.7109375" bestFit="1" customWidth="1"/>
    <col min="6" max="6" width="11.140625" bestFit="1" customWidth="1"/>
    <col min="7" max="7" width="18.42578125" bestFit="1" customWidth="1"/>
    <col min="9" max="9" width="12.140625" customWidth="1"/>
  </cols>
  <sheetData>
    <row r="1" spans="1:7" s="24" customFormat="1" ht="15" x14ac:dyDescent="0.2">
      <c r="E1" s="801" t="s">
        <v>4688</v>
      </c>
      <c r="F1" s="801"/>
      <c r="G1" s="801"/>
    </row>
    <row r="2" spans="1:7" s="24" customFormat="1" ht="15" x14ac:dyDescent="0.2">
      <c r="E2" s="786" t="s">
        <v>4586</v>
      </c>
      <c r="F2" s="786"/>
      <c r="G2" s="786"/>
    </row>
    <row r="3" spans="1:7" s="24" customFormat="1" ht="15" x14ac:dyDescent="0.2"/>
    <row r="4" spans="1:7" s="24" customFormat="1" ht="15" x14ac:dyDescent="0.2"/>
    <row r="5" spans="1:7" s="24" customFormat="1" ht="15" x14ac:dyDescent="0.2"/>
    <row r="6" spans="1:7" ht="15.75" x14ac:dyDescent="0.25">
      <c r="A6" s="10"/>
      <c r="B6" s="10"/>
    </row>
    <row r="7" spans="1:7" ht="32.25" customHeight="1" x14ac:dyDescent="0.2">
      <c r="A7" s="11"/>
      <c r="B7" s="823" t="s">
        <v>4174</v>
      </c>
      <c r="C7" s="823"/>
      <c r="D7" s="823"/>
      <c r="E7" s="823"/>
      <c r="F7" s="823"/>
      <c r="G7" s="823"/>
    </row>
    <row r="8" spans="1:7" x14ac:dyDescent="0.2">
      <c r="A8" s="12"/>
      <c r="B8" s="12"/>
    </row>
    <row r="9" spans="1:7" s="53" customFormat="1" ht="31.15" customHeight="1" x14ac:dyDescent="0.2">
      <c r="A9" s="202" t="s">
        <v>4105</v>
      </c>
      <c r="B9" s="202" t="s">
        <v>4061</v>
      </c>
      <c r="C9" s="306" t="s">
        <v>4115</v>
      </c>
      <c r="D9" s="291" t="s">
        <v>4369</v>
      </c>
      <c r="E9" s="291" t="s">
        <v>4580</v>
      </c>
      <c r="F9" s="291" t="s">
        <v>4360</v>
      </c>
      <c r="G9" s="304" t="s">
        <v>3967</v>
      </c>
    </row>
    <row r="10" spans="1:7" s="56" customFormat="1" ht="11.25" x14ac:dyDescent="0.2">
      <c r="A10" s="54">
        <v>1</v>
      </c>
      <c r="B10" s="230">
        <v>2</v>
      </c>
      <c r="C10" s="54">
        <v>3</v>
      </c>
      <c r="D10" s="230">
        <v>4</v>
      </c>
      <c r="E10" s="54">
        <v>5</v>
      </c>
      <c r="F10" s="230">
        <v>6</v>
      </c>
      <c r="G10" s="54">
        <v>7</v>
      </c>
    </row>
    <row r="11" spans="1:7" s="59" customFormat="1" ht="30.75" customHeight="1" x14ac:dyDescent="0.2">
      <c r="A11" s="307">
        <v>1</v>
      </c>
      <c r="B11" s="308" t="s">
        <v>4091</v>
      </c>
      <c r="C11" s="60">
        <v>1</v>
      </c>
      <c r="D11" s="577">
        <v>2722.88</v>
      </c>
      <c r="E11" s="205">
        <v>1</v>
      </c>
      <c r="F11" s="205">
        <f>D11*E11</f>
        <v>2722.88</v>
      </c>
      <c r="G11" s="205">
        <f t="shared" ref="G11" si="0">C11*F11*12</f>
        <v>32674.560000000001</v>
      </c>
    </row>
    <row r="12" spans="1:7" s="59" customFormat="1" ht="20.25" customHeight="1" x14ac:dyDescent="0.2">
      <c r="A12" s="214"/>
      <c r="B12" s="232"/>
      <c r="C12" s="216"/>
      <c r="D12" s="216"/>
      <c r="E12" s="216"/>
      <c r="F12" s="217" t="s">
        <v>3825</v>
      </c>
      <c r="G12" s="218">
        <f>SUM(G11:G11)</f>
        <v>32674.560000000001</v>
      </c>
    </row>
    <row r="13" spans="1:7" x14ac:dyDescent="0.2">
      <c r="A13" s="38"/>
      <c r="B13" s="38"/>
      <c r="C13" s="38"/>
      <c r="D13" s="38"/>
      <c r="E13" s="38"/>
      <c r="G13" s="59"/>
    </row>
    <row r="14" spans="1:7" ht="15" hidden="1" x14ac:dyDescent="0.2">
      <c r="B14" s="791" t="s">
        <v>3847</v>
      </c>
      <c r="C14" s="791"/>
      <c r="D14" s="791"/>
      <c r="E14" s="791"/>
      <c r="F14" s="791"/>
    </row>
    <row r="15" spans="1:7" s="23" customFormat="1" ht="17.25" customHeight="1" x14ac:dyDescent="0.2">
      <c r="A15" s="21"/>
    </row>
    <row r="16" spans="1:7" s="23" customFormat="1" ht="18" customHeight="1" x14ac:dyDescent="0.2">
      <c r="A16" s="42"/>
      <c r="B16" s="25"/>
    </row>
    <row r="17" spans="1:2" s="23" customFormat="1" ht="15" x14ac:dyDescent="0.2">
      <c r="A17" s="42"/>
      <c r="B17" s="210"/>
    </row>
    <row r="18" spans="1:2" s="23" customFormat="1" ht="15" x14ac:dyDescent="0.2">
      <c r="A18" s="42"/>
      <c r="B18" s="210"/>
    </row>
    <row r="19" spans="1:2" s="23" customFormat="1" ht="15" x14ac:dyDescent="0.2">
      <c r="A19" s="210"/>
    </row>
    <row r="20" spans="1:2" s="23" customFormat="1" ht="15" x14ac:dyDescent="0.2">
      <c r="A20" s="792"/>
      <c r="B20" s="793"/>
    </row>
    <row r="21" spans="1:2" s="23" customFormat="1" ht="15" customHeight="1" x14ac:dyDescent="0.2">
      <c r="A21" s="788"/>
      <c r="B21" s="788"/>
    </row>
    <row r="22" spans="1:2" s="23" customFormat="1" ht="15" x14ac:dyDescent="0.2">
      <c r="A22" s="788"/>
      <c r="B22" s="788"/>
    </row>
    <row r="23" spans="1:2" s="23" customFormat="1" ht="15" x14ac:dyDescent="0.2">
      <c r="A23" s="788"/>
      <c r="B23" s="788"/>
    </row>
    <row r="24" spans="1:2" s="23" customFormat="1" ht="15" x14ac:dyDescent="0.2">
      <c r="A24" s="210"/>
      <c r="B24" s="210"/>
    </row>
  </sheetData>
  <mergeCells count="8">
    <mergeCell ref="E1:G1"/>
    <mergeCell ref="E2:G2"/>
    <mergeCell ref="A23:B23"/>
    <mergeCell ref="B7:G7"/>
    <mergeCell ref="B14:F14"/>
    <mergeCell ref="A20:B20"/>
    <mergeCell ref="A21:B21"/>
    <mergeCell ref="A22:B2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27"/>
  <sheetViews>
    <sheetView workbookViewId="0">
      <selection activeCell="B7" sqref="B7:G7"/>
    </sheetView>
  </sheetViews>
  <sheetFormatPr defaultRowHeight="12.75" x14ac:dyDescent="0.2"/>
  <cols>
    <col min="1" max="1" width="3.7109375" customWidth="1"/>
    <col min="2" max="2" width="29" bestFit="1" customWidth="1"/>
    <col min="3" max="3" width="13.28515625" bestFit="1" customWidth="1"/>
    <col min="4" max="4" width="12.42578125" bestFit="1" customWidth="1"/>
    <col min="5" max="5" width="11.7109375" bestFit="1" customWidth="1"/>
    <col min="6" max="6" width="11.140625" bestFit="1" customWidth="1"/>
    <col min="7" max="7" width="18.42578125" bestFit="1" customWidth="1"/>
    <col min="9" max="9" width="13" customWidth="1"/>
  </cols>
  <sheetData>
    <row r="1" spans="1:7" s="24" customFormat="1" ht="15" x14ac:dyDescent="0.2">
      <c r="E1" s="801" t="s">
        <v>4036</v>
      </c>
      <c r="F1" s="801"/>
      <c r="G1" s="801"/>
    </row>
    <row r="2" spans="1:7" s="24" customFormat="1" ht="15" x14ac:dyDescent="0.2">
      <c r="E2" s="844" t="s">
        <v>68</v>
      </c>
      <c r="F2" s="844"/>
      <c r="G2" s="844"/>
    </row>
    <row r="3" spans="1:7" s="24" customFormat="1" ht="15" x14ac:dyDescent="0.2"/>
    <row r="4" spans="1:7" s="24" customFormat="1" ht="15" x14ac:dyDescent="0.2"/>
    <row r="5" spans="1:7" s="24" customFormat="1" ht="15" x14ac:dyDescent="0.2"/>
    <row r="6" spans="1:7" ht="15.75" x14ac:dyDescent="0.25">
      <c r="A6" s="10"/>
      <c r="B6" s="10"/>
    </row>
    <row r="7" spans="1:7" ht="48" customHeight="1" x14ac:dyDescent="0.2">
      <c r="A7" s="11"/>
      <c r="B7" s="823" t="s">
        <v>4086</v>
      </c>
      <c r="C7" s="823"/>
      <c r="D7" s="823"/>
      <c r="E7" s="823"/>
      <c r="F7" s="823"/>
      <c r="G7" s="823"/>
    </row>
    <row r="8" spans="1:7" x14ac:dyDescent="0.2">
      <c r="A8" s="12"/>
      <c r="B8" s="12"/>
    </row>
    <row r="9" spans="1:7" s="53" customFormat="1" ht="31.15" customHeight="1" x14ac:dyDescent="0.2">
      <c r="A9" s="202" t="s">
        <v>4105</v>
      </c>
      <c r="B9" s="202" t="s">
        <v>4061</v>
      </c>
      <c r="C9" s="306" t="s">
        <v>4039</v>
      </c>
      <c r="D9" s="291" t="s">
        <v>4197</v>
      </c>
      <c r="E9" s="291" t="s">
        <v>4198</v>
      </c>
      <c r="F9" s="291" t="s">
        <v>4199</v>
      </c>
      <c r="G9" s="454" t="s">
        <v>3967</v>
      </c>
    </row>
    <row r="10" spans="1:7" s="56" customFormat="1" ht="11.25" x14ac:dyDescent="0.2">
      <c r="A10" s="54">
        <v>1</v>
      </c>
      <c r="B10" s="230">
        <v>2</v>
      </c>
      <c r="C10" s="54">
        <v>3</v>
      </c>
      <c r="D10" s="230">
        <v>4</v>
      </c>
      <c r="E10" s="54">
        <v>5</v>
      </c>
      <c r="F10" s="230">
        <v>6</v>
      </c>
      <c r="G10" s="54">
        <v>7</v>
      </c>
    </row>
    <row r="11" spans="1:7" s="59" customFormat="1" ht="33.75" customHeight="1" x14ac:dyDescent="0.2">
      <c r="A11" s="307">
        <v>1</v>
      </c>
      <c r="B11" s="311" t="s">
        <v>4062</v>
      </c>
      <c r="C11" s="231">
        <v>1</v>
      </c>
      <c r="D11" s="229"/>
      <c r="E11" s="229">
        <v>1</v>
      </c>
      <c r="F11" s="229">
        <f>D11*E11</f>
        <v>0</v>
      </c>
      <c r="G11" s="229">
        <f>C11*F11*12</f>
        <v>0</v>
      </c>
    </row>
    <row r="12" spans="1:7" s="59" customFormat="1" ht="33.75" customHeight="1" x14ac:dyDescent="0.2">
      <c r="A12" s="307">
        <v>2</v>
      </c>
      <c r="B12" s="311" t="s">
        <v>4063</v>
      </c>
      <c r="C12" s="231">
        <v>1</v>
      </c>
      <c r="D12" s="229"/>
      <c r="E12" s="229">
        <v>1</v>
      </c>
      <c r="F12" s="229">
        <f>D12*E12</f>
        <v>0</v>
      </c>
      <c r="G12" s="229">
        <f t="shared" ref="G12:G14" si="0">C12*F12*12</f>
        <v>0</v>
      </c>
    </row>
    <row r="13" spans="1:7" s="59" customFormat="1" ht="33.75" customHeight="1" x14ac:dyDescent="0.2">
      <c r="A13" s="307">
        <v>3</v>
      </c>
      <c r="B13" s="311" t="s">
        <v>4064</v>
      </c>
      <c r="C13" s="231">
        <v>1</v>
      </c>
      <c r="D13" s="229"/>
      <c r="E13" s="229">
        <v>1</v>
      </c>
      <c r="F13" s="229">
        <f>D13*E13</f>
        <v>0</v>
      </c>
      <c r="G13" s="229">
        <f t="shared" si="0"/>
        <v>0</v>
      </c>
    </row>
    <row r="14" spans="1:7" s="59" customFormat="1" ht="33.75" customHeight="1" x14ac:dyDescent="0.2">
      <c r="A14" s="307">
        <v>4</v>
      </c>
      <c r="B14" s="311" t="s">
        <v>4065</v>
      </c>
      <c r="C14" s="231">
        <v>1</v>
      </c>
      <c r="D14" s="229"/>
      <c r="E14" s="229">
        <v>1</v>
      </c>
      <c r="F14" s="229">
        <f>D14*E14</f>
        <v>0</v>
      </c>
      <c r="G14" s="229">
        <f t="shared" si="0"/>
        <v>0</v>
      </c>
    </row>
    <row r="15" spans="1:7" s="59" customFormat="1" ht="20.25" customHeight="1" x14ac:dyDescent="0.2">
      <c r="A15" s="214"/>
      <c r="B15" s="232"/>
      <c r="C15" s="216"/>
      <c r="D15" s="216"/>
      <c r="E15" s="216"/>
      <c r="F15" s="217" t="s">
        <v>3825</v>
      </c>
      <c r="G15" s="312">
        <f>SUM(G11:G14)</f>
        <v>0</v>
      </c>
    </row>
    <row r="16" spans="1:7" x14ac:dyDescent="0.2">
      <c r="A16" s="38"/>
      <c r="B16" s="38"/>
      <c r="C16" s="38"/>
      <c r="D16" s="38"/>
      <c r="E16" s="38"/>
      <c r="G16" s="59"/>
    </row>
    <row r="17" spans="1:6" ht="15" hidden="1" x14ac:dyDescent="0.2">
      <c r="B17" s="791" t="s">
        <v>3847</v>
      </c>
      <c r="C17" s="791"/>
      <c r="D17" s="791"/>
      <c r="E17" s="791"/>
      <c r="F17" s="791"/>
    </row>
    <row r="18" spans="1:6" s="23" customFormat="1" ht="17.25" customHeight="1" x14ac:dyDescent="0.2">
      <c r="A18" s="21"/>
    </row>
    <row r="19" spans="1:6" s="23" customFormat="1" ht="18" customHeight="1" x14ac:dyDescent="0.2">
      <c r="A19" s="42"/>
      <c r="B19" s="25"/>
    </row>
    <row r="20" spans="1:6" s="23" customFormat="1" ht="15" x14ac:dyDescent="0.2">
      <c r="A20" s="42"/>
      <c r="B20" s="206"/>
    </row>
    <row r="21" spans="1:6" s="23" customFormat="1" ht="15" x14ac:dyDescent="0.2">
      <c r="A21" s="42"/>
      <c r="B21" s="206"/>
    </row>
    <row r="22" spans="1:6" s="23" customFormat="1" ht="15" x14ac:dyDescent="0.2">
      <c r="A22" s="206"/>
    </row>
    <row r="23" spans="1:6" s="23" customFormat="1" ht="15" x14ac:dyDescent="0.2">
      <c r="A23" s="792"/>
      <c r="B23" s="793"/>
    </row>
    <row r="24" spans="1:6" s="23" customFormat="1" ht="15" customHeight="1" x14ac:dyDescent="0.2">
      <c r="A24" s="788"/>
      <c r="B24" s="788"/>
    </row>
    <row r="25" spans="1:6" s="23" customFormat="1" ht="15" x14ac:dyDescent="0.2">
      <c r="A25" s="788"/>
      <c r="B25" s="788"/>
    </row>
    <row r="26" spans="1:6" s="23" customFormat="1" ht="15" x14ac:dyDescent="0.2">
      <c r="A26" s="788"/>
      <c r="B26" s="788"/>
    </row>
    <row r="27" spans="1:6" s="23" customFormat="1" ht="15" x14ac:dyDescent="0.2">
      <c r="A27" s="206"/>
      <c r="B27" s="206"/>
    </row>
  </sheetData>
  <mergeCells count="8">
    <mergeCell ref="E1:G1"/>
    <mergeCell ref="E2:G2"/>
    <mergeCell ref="A26:B26"/>
    <mergeCell ref="B7:G7"/>
    <mergeCell ref="B17:F17"/>
    <mergeCell ref="A23:B23"/>
    <mergeCell ref="A24:B24"/>
    <mergeCell ref="A25:B2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26"/>
  <sheetViews>
    <sheetView workbookViewId="0">
      <selection activeCell="E1" sqref="E1:G1"/>
    </sheetView>
  </sheetViews>
  <sheetFormatPr defaultRowHeight="12.75" x14ac:dyDescent="0.2"/>
  <cols>
    <col min="1" max="1" width="3.7109375" customWidth="1"/>
    <col min="2" max="2" width="29" bestFit="1" customWidth="1"/>
    <col min="3" max="3" width="6.7109375" bestFit="1" customWidth="1"/>
    <col min="4" max="4" width="12.42578125" bestFit="1" customWidth="1"/>
    <col min="5" max="5" width="11.7109375" bestFit="1" customWidth="1"/>
    <col min="6" max="6" width="11.140625" bestFit="1" customWidth="1"/>
    <col min="7" max="7" width="18.42578125" bestFit="1" customWidth="1"/>
    <col min="9" max="9" width="12.42578125" customWidth="1"/>
  </cols>
  <sheetData>
    <row r="1" spans="1:7" s="24" customFormat="1" ht="15" x14ac:dyDescent="0.2">
      <c r="E1" s="801" t="s">
        <v>4689</v>
      </c>
      <c r="F1" s="801"/>
      <c r="G1" s="801"/>
    </row>
    <row r="2" spans="1:7" s="24" customFormat="1" ht="15" x14ac:dyDescent="0.2">
      <c r="E2" s="786" t="s">
        <v>4586</v>
      </c>
      <c r="F2" s="786"/>
      <c r="G2" s="786"/>
    </row>
    <row r="3" spans="1:7" s="24" customFormat="1" ht="15" x14ac:dyDescent="0.2"/>
    <row r="4" spans="1:7" s="24" customFormat="1" ht="15" x14ac:dyDescent="0.2"/>
    <row r="5" spans="1:7" s="24" customFormat="1" ht="15" x14ac:dyDescent="0.2"/>
    <row r="6" spans="1:7" ht="15.75" x14ac:dyDescent="0.25">
      <c r="A6" s="10"/>
      <c r="B6" s="10"/>
    </row>
    <row r="7" spans="1:7" ht="38.25" customHeight="1" x14ac:dyDescent="0.2">
      <c r="A7" s="11"/>
      <c r="B7" s="823" t="s">
        <v>4098</v>
      </c>
      <c r="C7" s="823"/>
      <c r="D7" s="823"/>
      <c r="E7" s="823"/>
      <c r="F7" s="823"/>
      <c r="G7" s="823"/>
    </row>
    <row r="8" spans="1:7" x14ac:dyDescent="0.2">
      <c r="A8" s="12"/>
      <c r="B8" s="12"/>
    </row>
    <row r="9" spans="1:7" s="53" customFormat="1" ht="31.15" customHeight="1" x14ac:dyDescent="0.2">
      <c r="A9" s="202" t="s">
        <v>4105</v>
      </c>
      <c r="B9" s="202" t="s">
        <v>4061</v>
      </c>
      <c r="C9" s="306" t="s">
        <v>4115</v>
      </c>
      <c r="D9" s="291" t="s">
        <v>4369</v>
      </c>
      <c r="E9" s="291" t="s">
        <v>4580</v>
      </c>
      <c r="F9" s="291" t="s">
        <v>4360</v>
      </c>
      <c r="G9" s="304" t="s">
        <v>3967</v>
      </c>
    </row>
    <row r="10" spans="1:7" s="56" customFormat="1" ht="11.25" x14ac:dyDescent="0.2">
      <c r="A10" s="54">
        <v>1</v>
      </c>
      <c r="B10" s="230">
        <v>2</v>
      </c>
      <c r="C10" s="54">
        <v>3</v>
      </c>
      <c r="D10" s="230">
        <v>4</v>
      </c>
      <c r="E10" s="54">
        <v>5</v>
      </c>
      <c r="F10" s="230">
        <v>6</v>
      </c>
      <c r="G10" s="54">
        <v>7</v>
      </c>
    </row>
    <row r="11" spans="1:7" s="59" customFormat="1" ht="20.25" customHeight="1" x14ac:dyDescent="0.25">
      <c r="A11" s="212">
        <v>1</v>
      </c>
      <c r="B11" s="233" t="s">
        <v>3290</v>
      </c>
      <c r="C11" s="60">
        <v>1</v>
      </c>
      <c r="D11" s="582">
        <v>100</v>
      </c>
      <c r="E11" s="229">
        <v>1</v>
      </c>
      <c r="F11" s="229">
        <f>D11*E11</f>
        <v>100</v>
      </c>
      <c r="G11" s="229">
        <f>C11*F11*12</f>
        <v>1200</v>
      </c>
    </row>
    <row r="12" spans="1:7" s="59" customFormat="1" ht="20.25" customHeight="1" x14ac:dyDescent="0.25">
      <c r="A12" s="212">
        <v>2</v>
      </c>
      <c r="B12" s="233" t="s">
        <v>4092</v>
      </c>
      <c r="C12" s="60">
        <v>1</v>
      </c>
      <c r="D12" s="582">
        <v>500</v>
      </c>
      <c r="E12" s="229">
        <v>1</v>
      </c>
      <c r="F12" s="229">
        <f>D12*E12</f>
        <v>500</v>
      </c>
      <c r="G12" s="229">
        <f>C12*F12*12</f>
        <v>6000</v>
      </c>
    </row>
    <row r="13" spans="1:7" s="59" customFormat="1" ht="20.25" customHeight="1" x14ac:dyDescent="0.25">
      <c r="A13" s="212">
        <v>3</v>
      </c>
      <c r="B13" s="233" t="s">
        <v>4093</v>
      </c>
      <c r="C13" s="60">
        <v>1</v>
      </c>
      <c r="D13" s="582">
        <v>500</v>
      </c>
      <c r="E13" s="229">
        <v>1</v>
      </c>
      <c r="F13" s="229">
        <f>D13*E13</f>
        <v>500</v>
      </c>
      <c r="G13" s="229">
        <f>C13*F13*12</f>
        <v>6000</v>
      </c>
    </row>
    <row r="14" spans="1:7" s="59" customFormat="1" ht="20.25" customHeight="1" x14ac:dyDescent="0.2">
      <c r="A14" s="214"/>
      <c r="B14" s="232"/>
      <c r="C14" s="216"/>
      <c r="D14" s="216"/>
      <c r="E14" s="216"/>
      <c r="F14" s="217" t="s">
        <v>3825</v>
      </c>
      <c r="G14" s="218">
        <f>SUM(G11:G13)</f>
        <v>13200</v>
      </c>
    </row>
    <row r="15" spans="1:7" x14ac:dyDescent="0.2">
      <c r="A15" s="38"/>
      <c r="B15" s="38"/>
      <c r="C15" s="38"/>
      <c r="D15" s="38"/>
      <c r="E15" s="38"/>
      <c r="G15" s="59"/>
    </row>
    <row r="16" spans="1:7" ht="15" hidden="1" x14ac:dyDescent="0.2">
      <c r="B16" s="791" t="s">
        <v>3847</v>
      </c>
      <c r="C16" s="791"/>
      <c r="D16" s="791"/>
      <c r="E16" s="791"/>
      <c r="F16" s="791"/>
    </row>
    <row r="17" spans="1:2" s="23" customFormat="1" ht="17.25" customHeight="1" x14ac:dyDescent="0.2">
      <c r="A17" s="21"/>
    </row>
    <row r="18" spans="1:2" s="23" customFormat="1" ht="18" customHeight="1" x14ac:dyDescent="0.2">
      <c r="A18" s="42"/>
      <c r="B18" s="25"/>
    </row>
    <row r="19" spans="1:2" s="23" customFormat="1" ht="15" x14ac:dyDescent="0.2">
      <c r="A19" s="42"/>
      <c r="B19" s="210"/>
    </row>
    <row r="20" spans="1:2" s="23" customFormat="1" ht="15" x14ac:dyDescent="0.2">
      <c r="A20" s="42"/>
      <c r="B20" s="210"/>
    </row>
    <row r="21" spans="1:2" s="23" customFormat="1" ht="15" x14ac:dyDescent="0.2">
      <c r="A21" s="210"/>
    </row>
    <row r="22" spans="1:2" s="23" customFormat="1" ht="15" x14ac:dyDescent="0.2">
      <c r="A22" s="792"/>
      <c r="B22" s="793"/>
    </row>
    <row r="23" spans="1:2" s="23" customFormat="1" ht="15" customHeight="1" x14ac:dyDescent="0.2">
      <c r="A23" s="788"/>
      <c r="B23" s="788"/>
    </row>
    <row r="24" spans="1:2" s="23" customFormat="1" ht="15" x14ac:dyDescent="0.2">
      <c r="A24" s="788"/>
      <c r="B24" s="788"/>
    </row>
    <row r="25" spans="1:2" s="23" customFormat="1" ht="15" x14ac:dyDescent="0.2">
      <c r="A25" s="788"/>
      <c r="B25" s="788"/>
    </row>
    <row r="26" spans="1:2" s="23" customFormat="1" ht="15" x14ac:dyDescent="0.2">
      <c r="A26" s="210"/>
      <c r="B26" s="210"/>
    </row>
  </sheetData>
  <mergeCells count="8">
    <mergeCell ref="E1:G1"/>
    <mergeCell ref="E2:G2"/>
    <mergeCell ref="A25:B25"/>
    <mergeCell ref="B7:G7"/>
    <mergeCell ref="B16:F16"/>
    <mergeCell ref="A22:B22"/>
    <mergeCell ref="A23:B23"/>
    <mergeCell ref="A24:B2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5"/>
  <sheetViews>
    <sheetView workbookViewId="0">
      <selection activeCell="E34" sqref="E34"/>
    </sheetView>
  </sheetViews>
  <sheetFormatPr defaultColWidth="9.140625" defaultRowHeight="12.75" x14ac:dyDescent="0.2"/>
  <cols>
    <col min="1" max="1" width="15.42578125" style="564" customWidth="1"/>
    <col min="2" max="2" width="9.5703125" style="564" customWidth="1"/>
    <col min="3" max="3" width="31" style="564" customWidth="1"/>
    <col min="4" max="4" width="15.28515625" style="564" customWidth="1"/>
    <col min="5" max="5" width="7.85546875" style="564" customWidth="1"/>
    <col min="6" max="15" width="9.140625" style="564"/>
    <col min="16" max="16" width="15" style="564" customWidth="1"/>
    <col min="17" max="17" width="9.140625" style="564"/>
    <col min="18" max="18" width="15.42578125" style="564" customWidth="1"/>
    <col min="19" max="19" width="13" style="564" customWidth="1"/>
    <col min="20" max="20" width="12.28515625" style="564" customWidth="1"/>
    <col min="21" max="21" width="13.5703125" style="564" customWidth="1"/>
    <col min="22" max="22" width="10" style="564" bestFit="1" customWidth="1"/>
    <col min="23" max="16384" width="9.140625" style="564"/>
  </cols>
  <sheetData>
    <row r="1" spans="1:21" ht="15" x14ac:dyDescent="0.2">
      <c r="R1" s="796" t="s">
        <v>4579</v>
      </c>
      <c r="S1" s="796"/>
      <c r="T1" s="796"/>
    </row>
    <row r="2" spans="1:21" ht="15" x14ac:dyDescent="0.2">
      <c r="R2" s="797" t="s">
        <v>4586</v>
      </c>
      <c r="S2" s="797"/>
      <c r="T2" s="797"/>
    </row>
    <row r="3" spans="1:21" ht="15" x14ac:dyDescent="0.2">
      <c r="A3" s="552" t="s">
        <v>4193</v>
      </c>
    </row>
    <row r="6" spans="1:21" s="567" customFormat="1" ht="127.5" x14ac:dyDescent="0.2">
      <c r="A6" s="565" t="s">
        <v>4196</v>
      </c>
      <c r="B6" s="566" t="s">
        <v>4280</v>
      </c>
      <c r="C6" s="565" t="s">
        <v>4281</v>
      </c>
      <c r="D6" s="566" t="s">
        <v>4282</v>
      </c>
      <c r="E6" s="566" t="s">
        <v>4283</v>
      </c>
      <c r="F6" s="566" t="s">
        <v>4284</v>
      </c>
      <c r="G6" s="566" t="s">
        <v>4285</v>
      </c>
      <c r="H6" s="566" t="s">
        <v>4286</v>
      </c>
      <c r="I6" s="561" t="s">
        <v>4205</v>
      </c>
      <c r="J6" s="561" t="s">
        <v>4206</v>
      </c>
      <c r="K6" s="561" t="s">
        <v>4207</v>
      </c>
      <c r="L6" s="561" t="s">
        <v>4208</v>
      </c>
      <c r="M6" s="561" t="s">
        <v>4209</v>
      </c>
      <c r="N6" s="566" t="s">
        <v>4210</v>
      </c>
      <c r="O6" s="440" t="s">
        <v>4599</v>
      </c>
      <c r="P6" s="561" t="s">
        <v>4212</v>
      </c>
      <c r="Q6" s="561" t="s">
        <v>4213</v>
      </c>
      <c r="R6" s="561" t="s">
        <v>4214</v>
      </c>
      <c r="S6" s="561" t="s">
        <v>4215</v>
      </c>
      <c r="T6" s="440" t="s">
        <v>4599</v>
      </c>
      <c r="U6" s="561" t="s">
        <v>4265</v>
      </c>
    </row>
    <row r="7" spans="1:21" s="568" customFormat="1" ht="69" customHeight="1" x14ac:dyDescent="0.2">
      <c r="A7" s="430" t="s">
        <v>4290</v>
      </c>
      <c r="B7" s="431">
        <f>240.09</f>
        <v>240.09</v>
      </c>
      <c r="C7" s="432" t="s">
        <v>4291</v>
      </c>
      <c r="D7" s="431">
        <v>15841</v>
      </c>
      <c r="E7" s="399">
        <v>1</v>
      </c>
      <c r="F7" s="437"/>
      <c r="G7" s="437"/>
      <c r="H7" s="399">
        <f>(D7*E7)*(1+G7/100)</f>
        <v>15841</v>
      </c>
      <c r="I7" s="438">
        <f>D7*1.1</f>
        <v>17425.100000000002</v>
      </c>
      <c r="J7" s="399"/>
      <c r="K7" s="399"/>
      <c r="L7" s="399"/>
      <c r="M7" s="133">
        <f>H7/70*30</f>
        <v>6789</v>
      </c>
      <c r="N7" s="399">
        <f t="shared" ref="N7:N16" si="0">H7+I7+J7+K7+L7+M7</f>
        <v>40055.100000000006</v>
      </c>
      <c r="O7" s="399">
        <f>IF(B7=0,0,IF(N7&lt;23000,23000-N7,0))</f>
        <v>0</v>
      </c>
      <c r="P7" s="399">
        <f>H7*B7</f>
        <v>3803265.69</v>
      </c>
      <c r="Q7" s="399">
        <f t="shared" ref="Q7:Q16" si="1">L7*B7</f>
        <v>0</v>
      </c>
      <c r="R7" s="399">
        <f t="shared" ref="R7:R16" si="2">(I7+J7+K7)*B7</f>
        <v>4183592.2590000005</v>
      </c>
      <c r="S7" s="399">
        <f>M7*B7</f>
        <v>1629971.01</v>
      </c>
      <c r="T7" s="399">
        <f>O7*B7</f>
        <v>0</v>
      </c>
      <c r="U7" s="399">
        <f>SUM(P7:T7)</f>
        <v>9616828.9590000007</v>
      </c>
    </row>
    <row r="8" spans="1:21" s="568" customFormat="1" ht="51" x14ac:dyDescent="0.2">
      <c r="A8" s="430" t="s">
        <v>4287</v>
      </c>
      <c r="B8" s="430">
        <f>36.5</f>
        <v>36.5</v>
      </c>
      <c r="C8" s="430" t="s">
        <v>4249</v>
      </c>
      <c r="D8" s="430">
        <v>9289</v>
      </c>
      <c r="E8" s="399">
        <v>1</v>
      </c>
      <c r="F8" s="437"/>
      <c r="G8" s="437"/>
      <c r="H8" s="399">
        <f>(D8*E8)*(1+G8/100)</f>
        <v>9289</v>
      </c>
      <c r="I8" s="438"/>
      <c r="J8" s="399"/>
      <c r="K8" s="399"/>
      <c r="L8" s="399"/>
      <c r="M8" s="133">
        <f t="shared" ref="M8:M16" si="3">H8/70*30</f>
        <v>3980.9999999999995</v>
      </c>
      <c r="N8" s="399">
        <f t="shared" si="0"/>
        <v>13270</v>
      </c>
      <c r="O8" s="399">
        <f>IF(B8=0,0,IF(N8&lt;23000,23000-N8,0))</f>
        <v>9730</v>
      </c>
      <c r="P8" s="399">
        <f t="shared" ref="P8:P16" si="4">H8*B8</f>
        <v>339048.5</v>
      </c>
      <c r="Q8" s="399">
        <f t="shared" si="1"/>
        <v>0</v>
      </c>
      <c r="R8" s="399">
        <f t="shared" si="2"/>
        <v>0</v>
      </c>
      <c r="S8" s="399">
        <f t="shared" ref="S8:S16" si="5">M8*B8</f>
        <v>145306.49999999997</v>
      </c>
      <c r="T8" s="399">
        <f>O8*B8</f>
        <v>355145</v>
      </c>
      <c r="U8" s="399">
        <f>SUM(P8:T8)</f>
        <v>839500</v>
      </c>
    </row>
    <row r="9" spans="1:21" s="568" customFormat="1" ht="25.5" x14ac:dyDescent="0.2">
      <c r="A9" s="430" t="s">
        <v>4243</v>
      </c>
      <c r="B9" s="430">
        <v>10</v>
      </c>
      <c r="C9" s="430" t="s">
        <v>4601</v>
      </c>
      <c r="D9" s="430">
        <v>14501</v>
      </c>
      <c r="E9" s="399">
        <v>1</v>
      </c>
      <c r="F9" s="437"/>
      <c r="G9" s="437"/>
      <c r="H9" s="399">
        <f t="shared" ref="H9:H16" si="6">(D9*E9)*(1+G9/100)</f>
        <v>14501</v>
      </c>
      <c r="I9" s="438"/>
      <c r="J9" s="399"/>
      <c r="K9" s="399"/>
      <c r="L9" s="399"/>
      <c r="M9" s="133">
        <f t="shared" si="3"/>
        <v>6214.7142857142853</v>
      </c>
      <c r="N9" s="399">
        <f t="shared" si="0"/>
        <v>20715.714285714286</v>
      </c>
      <c r="O9" s="399">
        <f t="shared" ref="O9:O16" si="7">IF(B9=0,0,IF(N9&lt;23000,23000-N9,0))</f>
        <v>2284.2857142857138</v>
      </c>
      <c r="P9" s="399">
        <f t="shared" si="4"/>
        <v>145010</v>
      </c>
      <c r="Q9" s="399">
        <f t="shared" si="1"/>
        <v>0</v>
      </c>
      <c r="R9" s="399">
        <f t="shared" si="2"/>
        <v>0</v>
      </c>
      <c r="S9" s="399">
        <f t="shared" si="5"/>
        <v>62147.142857142855</v>
      </c>
      <c r="T9" s="399">
        <f t="shared" ref="T9:T16" si="8">O9*B9</f>
        <v>22842.857142857138</v>
      </c>
      <c r="U9" s="399">
        <f>SUM(P9:T9)</f>
        <v>229999.99999999997</v>
      </c>
    </row>
    <row r="10" spans="1:21" s="568" customFormat="1" ht="25.5" x14ac:dyDescent="0.2">
      <c r="A10" s="430" t="s">
        <v>4604</v>
      </c>
      <c r="B10" s="430">
        <v>34.5</v>
      </c>
      <c r="C10" s="430"/>
      <c r="D10" s="430">
        <v>10432</v>
      </c>
      <c r="E10" s="399">
        <v>1</v>
      </c>
      <c r="F10" s="437"/>
      <c r="G10" s="437"/>
      <c r="H10" s="399">
        <f t="shared" si="6"/>
        <v>10432</v>
      </c>
      <c r="I10" s="438"/>
      <c r="J10" s="399"/>
      <c r="K10" s="399"/>
      <c r="L10" s="399"/>
      <c r="M10" s="133">
        <f t="shared" si="3"/>
        <v>4470.8571428571431</v>
      </c>
      <c r="N10" s="399">
        <f t="shared" si="0"/>
        <v>14902.857142857143</v>
      </c>
      <c r="O10" s="399">
        <f t="shared" si="7"/>
        <v>8097.1428571428569</v>
      </c>
      <c r="P10" s="399">
        <f t="shared" si="4"/>
        <v>359904</v>
      </c>
      <c r="Q10" s="399">
        <f t="shared" si="1"/>
        <v>0</v>
      </c>
      <c r="R10" s="399">
        <f t="shared" si="2"/>
        <v>0</v>
      </c>
      <c r="S10" s="399">
        <f t="shared" si="5"/>
        <v>154244.57142857145</v>
      </c>
      <c r="T10" s="399">
        <f t="shared" si="8"/>
        <v>279351.42857142858</v>
      </c>
      <c r="U10" s="399">
        <f t="shared" ref="U10:U16" si="9">SUM(P10:T10)</f>
        <v>793500</v>
      </c>
    </row>
    <row r="11" spans="1:21" ht="25.5" x14ac:dyDescent="0.2">
      <c r="A11" s="430" t="s">
        <v>4609</v>
      </c>
      <c r="B11" s="430">
        <v>10</v>
      </c>
      <c r="C11" s="430"/>
      <c r="D11" s="430">
        <v>9766</v>
      </c>
      <c r="E11" s="399">
        <v>1</v>
      </c>
      <c r="F11" s="437"/>
      <c r="G11" s="437"/>
      <c r="H11" s="399">
        <f t="shared" si="6"/>
        <v>9766</v>
      </c>
      <c r="I11" s="438"/>
      <c r="J11" s="399"/>
      <c r="K11" s="399"/>
      <c r="L11" s="399"/>
      <c r="M11" s="133">
        <f t="shared" si="3"/>
        <v>4185.4285714285716</v>
      </c>
      <c r="N11" s="399">
        <f t="shared" si="0"/>
        <v>13951.428571428572</v>
      </c>
      <c r="O11" s="399">
        <f t="shared" si="7"/>
        <v>9048.5714285714275</v>
      </c>
      <c r="P11" s="399">
        <f t="shared" si="4"/>
        <v>97660</v>
      </c>
      <c r="Q11" s="399">
        <f t="shared" si="1"/>
        <v>0</v>
      </c>
      <c r="R11" s="399">
        <f t="shared" si="2"/>
        <v>0</v>
      </c>
      <c r="S11" s="399">
        <f t="shared" si="5"/>
        <v>41854.285714285717</v>
      </c>
      <c r="T11" s="399">
        <f t="shared" si="8"/>
        <v>90485.714285714275</v>
      </c>
      <c r="U11" s="399">
        <f t="shared" si="9"/>
        <v>230000</v>
      </c>
    </row>
    <row r="12" spans="1:21" x14ac:dyDescent="0.2">
      <c r="A12" s="430" t="s">
        <v>4292</v>
      </c>
      <c r="B12" s="430">
        <f>42.5</f>
        <v>42.5</v>
      </c>
      <c r="C12" s="430" t="s">
        <v>4249</v>
      </c>
      <c r="D12" s="430">
        <v>9289</v>
      </c>
      <c r="E12" s="399">
        <v>1</v>
      </c>
      <c r="F12" s="437"/>
      <c r="G12" s="437"/>
      <c r="H12" s="399">
        <f t="shared" si="6"/>
        <v>9289</v>
      </c>
      <c r="I12" s="438"/>
      <c r="J12" s="399"/>
      <c r="K12" s="399"/>
      <c r="L12" s="399"/>
      <c r="M12" s="133">
        <f t="shared" si="3"/>
        <v>3980.9999999999995</v>
      </c>
      <c r="N12" s="399">
        <f t="shared" si="0"/>
        <v>13270</v>
      </c>
      <c r="O12" s="399">
        <f t="shared" si="7"/>
        <v>9730</v>
      </c>
      <c r="P12" s="399">
        <f t="shared" si="4"/>
        <v>394782.5</v>
      </c>
      <c r="Q12" s="399">
        <f t="shared" si="1"/>
        <v>0</v>
      </c>
      <c r="R12" s="399">
        <f t="shared" si="2"/>
        <v>0</v>
      </c>
      <c r="S12" s="399">
        <f t="shared" si="5"/>
        <v>169192.49999999997</v>
      </c>
      <c r="T12" s="399">
        <f t="shared" si="8"/>
        <v>413525</v>
      </c>
      <c r="U12" s="399">
        <f t="shared" si="9"/>
        <v>977500</v>
      </c>
    </row>
    <row r="13" spans="1:21" ht="63.75" x14ac:dyDescent="0.2">
      <c r="A13" s="430" t="s">
        <v>4293</v>
      </c>
      <c r="B13" s="430">
        <f>108.25</f>
        <v>108.25</v>
      </c>
      <c r="C13" s="430" t="s">
        <v>4249</v>
      </c>
      <c r="D13" s="430">
        <v>9289</v>
      </c>
      <c r="E13" s="399">
        <v>1</v>
      </c>
      <c r="F13" s="437"/>
      <c r="G13" s="437"/>
      <c r="H13" s="399">
        <f t="shared" si="6"/>
        <v>9289</v>
      </c>
      <c r="I13" s="438"/>
      <c r="J13" s="399"/>
      <c r="K13" s="399"/>
      <c r="L13" s="399"/>
      <c r="M13" s="133">
        <f t="shared" si="3"/>
        <v>3980.9999999999995</v>
      </c>
      <c r="N13" s="399">
        <f t="shared" si="0"/>
        <v>13270</v>
      </c>
      <c r="O13" s="399">
        <f t="shared" si="7"/>
        <v>9730</v>
      </c>
      <c r="P13" s="399">
        <f t="shared" si="4"/>
        <v>1005534.25</v>
      </c>
      <c r="Q13" s="399">
        <f t="shared" si="1"/>
        <v>0</v>
      </c>
      <c r="R13" s="399">
        <f t="shared" si="2"/>
        <v>0</v>
      </c>
      <c r="S13" s="399">
        <f t="shared" si="5"/>
        <v>430943.24999999994</v>
      </c>
      <c r="T13" s="399">
        <f t="shared" si="8"/>
        <v>1053272.5</v>
      </c>
      <c r="U13" s="399">
        <f t="shared" si="9"/>
        <v>2489750</v>
      </c>
    </row>
    <row r="14" spans="1:21" ht="63.75" x14ac:dyDescent="0.2">
      <c r="A14" s="430" t="s">
        <v>4610</v>
      </c>
      <c r="B14" s="430">
        <f>19.5</f>
        <v>19.5</v>
      </c>
      <c r="C14" s="430" t="s">
        <v>4251</v>
      </c>
      <c r="D14" s="430">
        <v>8923</v>
      </c>
      <c r="E14" s="399">
        <v>1</v>
      </c>
      <c r="F14" s="437"/>
      <c r="G14" s="437"/>
      <c r="H14" s="399">
        <f t="shared" si="6"/>
        <v>8923</v>
      </c>
      <c r="I14" s="438"/>
      <c r="J14" s="399"/>
      <c r="K14" s="399"/>
      <c r="L14" s="399"/>
      <c r="M14" s="133">
        <f t="shared" si="3"/>
        <v>3824.1428571428573</v>
      </c>
      <c r="N14" s="399">
        <f t="shared" si="0"/>
        <v>12747.142857142857</v>
      </c>
      <c r="O14" s="399">
        <f t="shared" si="7"/>
        <v>10252.857142857143</v>
      </c>
      <c r="P14" s="399">
        <f t="shared" si="4"/>
        <v>173998.5</v>
      </c>
      <c r="Q14" s="399">
        <f t="shared" si="1"/>
        <v>0</v>
      </c>
      <c r="R14" s="399">
        <f t="shared" si="2"/>
        <v>0</v>
      </c>
      <c r="S14" s="399">
        <f t="shared" si="5"/>
        <v>74570.785714285725</v>
      </c>
      <c r="T14" s="399">
        <f t="shared" si="8"/>
        <v>199930.71428571429</v>
      </c>
      <c r="U14" s="399">
        <f t="shared" si="9"/>
        <v>448500</v>
      </c>
    </row>
    <row r="15" spans="1:21" x14ac:dyDescent="0.2">
      <c r="A15" s="430" t="s">
        <v>4294</v>
      </c>
      <c r="B15" s="430">
        <f>98</f>
        <v>98</v>
      </c>
      <c r="C15" s="430" t="s">
        <v>4251</v>
      </c>
      <c r="D15" s="430">
        <v>8923</v>
      </c>
      <c r="E15" s="399">
        <v>1</v>
      </c>
      <c r="F15" s="437"/>
      <c r="G15" s="437"/>
      <c r="H15" s="399">
        <f t="shared" si="6"/>
        <v>8923</v>
      </c>
      <c r="I15" s="438"/>
      <c r="J15" s="399"/>
      <c r="K15" s="399"/>
      <c r="L15" s="399"/>
      <c r="M15" s="133">
        <f t="shared" si="3"/>
        <v>3824.1428571428573</v>
      </c>
      <c r="N15" s="399">
        <f t="shared" si="0"/>
        <v>12747.142857142857</v>
      </c>
      <c r="O15" s="399">
        <f t="shared" si="7"/>
        <v>10252.857142857143</v>
      </c>
      <c r="P15" s="399">
        <f t="shared" si="4"/>
        <v>874454</v>
      </c>
      <c r="Q15" s="399">
        <f t="shared" si="1"/>
        <v>0</v>
      </c>
      <c r="R15" s="399">
        <f t="shared" si="2"/>
        <v>0</v>
      </c>
      <c r="S15" s="399">
        <f t="shared" si="5"/>
        <v>374766</v>
      </c>
      <c r="T15" s="399">
        <f t="shared" si="8"/>
        <v>1004780</v>
      </c>
      <c r="U15" s="399">
        <f t="shared" si="9"/>
        <v>2254000</v>
      </c>
    </row>
    <row r="16" spans="1:21" ht="38.25" x14ac:dyDescent="0.2">
      <c r="A16" s="430" t="s">
        <v>4608</v>
      </c>
      <c r="B16" s="430">
        <f>64.25</f>
        <v>64.25</v>
      </c>
      <c r="C16" s="430" t="s">
        <v>4251</v>
      </c>
      <c r="D16" s="430">
        <v>8923</v>
      </c>
      <c r="E16" s="399">
        <v>1</v>
      </c>
      <c r="F16" s="437"/>
      <c r="G16" s="437"/>
      <c r="H16" s="399">
        <f t="shared" si="6"/>
        <v>8923</v>
      </c>
      <c r="I16" s="438"/>
      <c r="J16" s="399"/>
      <c r="K16" s="399"/>
      <c r="L16" s="399"/>
      <c r="M16" s="133">
        <f t="shared" si="3"/>
        <v>3824.1428571428573</v>
      </c>
      <c r="N16" s="399">
        <f t="shared" si="0"/>
        <v>12747.142857142857</v>
      </c>
      <c r="O16" s="399">
        <f t="shared" si="7"/>
        <v>10252.857142857143</v>
      </c>
      <c r="P16" s="399">
        <f t="shared" si="4"/>
        <v>573302.75</v>
      </c>
      <c r="Q16" s="399">
        <f t="shared" si="1"/>
        <v>0</v>
      </c>
      <c r="R16" s="399">
        <f t="shared" si="2"/>
        <v>0</v>
      </c>
      <c r="S16" s="399">
        <f t="shared" si="5"/>
        <v>245701.17857142858</v>
      </c>
      <c r="T16" s="399">
        <f t="shared" si="8"/>
        <v>658746.07142857148</v>
      </c>
      <c r="U16" s="399">
        <f t="shared" si="9"/>
        <v>1477750</v>
      </c>
    </row>
    <row r="17" spans="1:21" hidden="1" x14ac:dyDescent="0.2">
      <c r="A17" s="430"/>
      <c r="B17" s="431"/>
      <c r="C17" s="432"/>
      <c r="D17" s="431"/>
      <c r="E17" s="399"/>
      <c r="F17" s="437"/>
      <c r="G17" s="437"/>
      <c r="H17" s="399"/>
      <c r="I17" s="438"/>
      <c r="J17" s="399"/>
      <c r="K17" s="399"/>
      <c r="L17" s="399"/>
      <c r="M17" s="133"/>
      <c r="N17" s="399"/>
      <c r="O17" s="399"/>
      <c r="P17" s="399"/>
      <c r="Q17" s="399"/>
      <c r="R17" s="399"/>
      <c r="S17" s="399"/>
      <c r="T17" s="399"/>
      <c r="U17" s="399"/>
    </row>
    <row r="18" spans="1:21" hidden="1" x14ac:dyDescent="0.2">
      <c r="A18" s="430"/>
      <c r="B18" s="430"/>
      <c r="C18" s="430"/>
      <c r="D18" s="430"/>
      <c r="E18" s="399"/>
      <c r="F18" s="437"/>
      <c r="G18" s="437"/>
      <c r="H18" s="399"/>
      <c r="I18" s="438"/>
      <c r="J18" s="399"/>
      <c r="K18" s="399"/>
      <c r="L18" s="399"/>
      <c r="M18" s="133"/>
      <c r="N18" s="399"/>
      <c r="O18" s="399"/>
      <c r="P18" s="399"/>
      <c r="Q18" s="399"/>
      <c r="R18" s="399"/>
      <c r="S18" s="399"/>
      <c r="T18" s="399"/>
      <c r="U18" s="399"/>
    </row>
    <row r="19" spans="1:21" hidden="1" x14ac:dyDescent="0.2">
      <c r="A19" s="430"/>
      <c r="B19" s="430"/>
      <c r="C19" s="430"/>
      <c r="D19" s="430"/>
      <c r="E19" s="399"/>
      <c r="F19" s="437"/>
      <c r="G19" s="437"/>
      <c r="H19" s="399"/>
      <c r="I19" s="438"/>
      <c r="J19" s="399"/>
      <c r="K19" s="399"/>
      <c r="L19" s="399"/>
      <c r="M19" s="133"/>
      <c r="N19" s="399"/>
      <c r="O19" s="399"/>
      <c r="P19" s="399"/>
      <c r="Q19" s="399"/>
      <c r="R19" s="399"/>
      <c r="S19" s="399"/>
      <c r="T19" s="399"/>
      <c r="U19" s="399"/>
    </row>
    <row r="20" spans="1:21" hidden="1" x14ac:dyDescent="0.2">
      <c r="A20" s="430"/>
      <c r="B20" s="430"/>
      <c r="C20" s="430"/>
      <c r="D20" s="430"/>
      <c r="E20" s="399"/>
      <c r="F20" s="437"/>
      <c r="G20" s="437"/>
      <c r="H20" s="399"/>
      <c r="I20" s="438"/>
      <c r="J20" s="399"/>
      <c r="K20" s="399"/>
      <c r="L20" s="399"/>
      <c r="M20" s="133"/>
      <c r="N20" s="399"/>
      <c r="O20" s="399"/>
      <c r="P20" s="399"/>
      <c r="Q20" s="399"/>
      <c r="R20" s="399"/>
      <c r="S20" s="399"/>
      <c r="T20" s="399"/>
      <c r="U20" s="399"/>
    </row>
    <row r="21" spans="1:21" hidden="1" x14ac:dyDescent="0.2">
      <c r="A21" s="430"/>
      <c r="B21" s="430"/>
      <c r="C21" s="430"/>
      <c r="D21" s="430"/>
      <c r="E21" s="399"/>
      <c r="F21" s="437"/>
      <c r="G21" s="437"/>
      <c r="H21" s="399"/>
      <c r="I21" s="438"/>
      <c r="J21" s="399"/>
      <c r="K21" s="399"/>
      <c r="L21" s="399"/>
      <c r="M21" s="133"/>
      <c r="N21" s="399"/>
      <c r="O21" s="399"/>
      <c r="P21" s="399"/>
      <c r="Q21" s="399"/>
      <c r="R21" s="399"/>
      <c r="S21" s="399"/>
      <c r="T21" s="399"/>
      <c r="U21" s="399"/>
    </row>
    <row r="22" spans="1:21" hidden="1" x14ac:dyDescent="0.2">
      <c r="A22" s="430"/>
      <c r="B22" s="430"/>
      <c r="C22" s="430"/>
      <c r="D22" s="430"/>
      <c r="E22" s="399"/>
      <c r="F22" s="437"/>
      <c r="G22" s="437"/>
      <c r="H22" s="399"/>
      <c r="I22" s="438"/>
      <c r="J22" s="399"/>
      <c r="K22" s="399"/>
      <c r="L22" s="399"/>
      <c r="M22" s="133"/>
      <c r="N22" s="399"/>
      <c r="O22" s="399"/>
      <c r="P22" s="399"/>
      <c r="Q22" s="399"/>
      <c r="R22" s="399"/>
      <c r="S22" s="399"/>
      <c r="T22" s="399"/>
      <c r="U22" s="399"/>
    </row>
    <row r="23" spans="1:21" hidden="1" x14ac:dyDescent="0.2">
      <c r="A23" s="430"/>
      <c r="B23" s="430"/>
      <c r="C23" s="430"/>
      <c r="D23" s="430"/>
      <c r="E23" s="399"/>
      <c r="F23" s="437"/>
      <c r="G23" s="437"/>
      <c r="H23" s="399"/>
      <c r="I23" s="438"/>
      <c r="J23" s="399"/>
      <c r="K23" s="399"/>
      <c r="L23" s="399"/>
      <c r="M23" s="133"/>
      <c r="N23" s="399"/>
      <c r="O23" s="399"/>
      <c r="P23" s="399"/>
      <c r="Q23" s="399"/>
      <c r="R23" s="399"/>
      <c r="S23" s="399"/>
      <c r="T23" s="399"/>
      <c r="U23" s="399"/>
    </row>
    <row r="24" spans="1:21" hidden="1" x14ac:dyDescent="0.2">
      <c r="A24" s="430"/>
      <c r="B24" s="430"/>
      <c r="C24" s="430"/>
      <c r="D24" s="430"/>
      <c r="E24" s="399"/>
      <c r="F24" s="437"/>
      <c r="G24" s="437"/>
      <c r="H24" s="399"/>
      <c r="I24" s="438"/>
      <c r="J24" s="399"/>
      <c r="K24" s="399"/>
      <c r="L24" s="399"/>
      <c r="M24" s="133"/>
      <c r="N24" s="399"/>
      <c r="O24" s="399"/>
      <c r="P24" s="399"/>
      <c r="Q24" s="399"/>
      <c r="R24" s="399"/>
      <c r="S24" s="399"/>
      <c r="T24" s="399"/>
      <c r="U24" s="399"/>
    </row>
    <row r="25" spans="1:21" hidden="1" x14ac:dyDescent="0.2">
      <c r="A25" s="430"/>
      <c r="B25" s="430"/>
      <c r="C25" s="430"/>
      <c r="D25" s="430"/>
      <c r="E25" s="399"/>
      <c r="F25" s="437"/>
      <c r="G25" s="437"/>
      <c r="H25" s="399"/>
      <c r="I25" s="438"/>
      <c r="J25" s="399"/>
      <c r="K25" s="399"/>
      <c r="L25" s="399"/>
      <c r="M25" s="133"/>
      <c r="N25" s="399"/>
      <c r="O25" s="399"/>
      <c r="P25" s="399"/>
      <c r="Q25" s="399"/>
      <c r="R25" s="399"/>
      <c r="S25" s="399"/>
      <c r="T25" s="399"/>
      <c r="U25" s="399"/>
    </row>
    <row r="26" spans="1:21" hidden="1" x14ac:dyDescent="0.2">
      <c r="A26" s="430"/>
      <c r="B26" s="430"/>
      <c r="C26" s="430"/>
      <c r="D26" s="430"/>
      <c r="E26" s="399"/>
      <c r="F26" s="437"/>
      <c r="G26" s="437"/>
      <c r="H26" s="399"/>
      <c r="I26" s="438"/>
      <c r="J26" s="399"/>
      <c r="K26" s="399"/>
      <c r="L26" s="399"/>
      <c r="M26" s="133"/>
      <c r="N26" s="399"/>
      <c r="O26" s="399"/>
      <c r="P26" s="399"/>
      <c r="Q26" s="399"/>
      <c r="R26" s="399"/>
      <c r="S26" s="399"/>
      <c r="T26" s="399"/>
      <c r="U26" s="399"/>
    </row>
    <row r="27" spans="1:21" hidden="1" x14ac:dyDescent="0.2">
      <c r="A27" s="564" t="s">
        <v>3837</v>
      </c>
      <c r="B27" s="569">
        <f>B26+B15+B11</f>
        <v>108</v>
      </c>
      <c r="P27" s="569"/>
      <c r="Q27" s="569"/>
      <c r="R27" s="569"/>
      <c r="S27" s="569"/>
      <c r="T27" s="569"/>
      <c r="U27" s="569">
        <f>SUM(U7:U16)</f>
        <v>19357328.958999999</v>
      </c>
    </row>
    <row r="28" spans="1:21" hidden="1" x14ac:dyDescent="0.2">
      <c r="A28" s="564" t="s">
        <v>4295</v>
      </c>
      <c r="B28" s="569">
        <f>B16+B17+B18</f>
        <v>64.25</v>
      </c>
      <c r="P28" s="569"/>
      <c r="Q28" s="569"/>
      <c r="R28" s="569"/>
      <c r="S28" s="569"/>
      <c r="T28" s="569"/>
      <c r="U28" s="569">
        <f>U12+U13</f>
        <v>3467250</v>
      </c>
    </row>
    <row r="29" spans="1:21" hidden="1" x14ac:dyDescent="0.2">
      <c r="A29" s="564" t="s">
        <v>4296</v>
      </c>
      <c r="B29" s="569">
        <f>B27-B28</f>
        <v>43.75</v>
      </c>
      <c r="P29" s="569"/>
      <c r="Q29" s="569"/>
      <c r="R29" s="569"/>
      <c r="S29" s="569"/>
      <c r="T29" s="569"/>
      <c r="U29" s="569">
        <f>U27-U28</f>
        <v>15890078.958999999</v>
      </c>
    </row>
    <row r="31" spans="1:21" ht="50.25" customHeight="1" x14ac:dyDescent="0.2">
      <c r="A31" s="794" t="s">
        <v>4297</v>
      </c>
      <c r="B31" s="397" t="s">
        <v>4050</v>
      </c>
      <c r="C31" s="570"/>
      <c r="D31" s="571" t="s">
        <v>4266</v>
      </c>
      <c r="E31" s="571" t="s">
        <v>4267</v>
      </c>
    </row>
    <row r="32" spans="1:21" x14ac:dyDescent="0.2">
      <c r="A32" s="795"/>
      <c r="B32" s="538" t="s">
        <v>4256</v>
      </c>
      <c r="C32" s="538" t="s">
        <v>4300</v>
      </c>
      <c r="D32" s="572"/>
      <c r="E32" s="572"/>
    </row>
    <row r="33" spans="1:5" x14ac:dyDescent="0.2">
      <c r="A33" s="562" t="s">
        <v>4298</v>
      </c>
      <c r="B33" s="538">
        <f>'[1]Оъёмные показатели'!$C$11</f>
        <v>411</v>
      </c>
      <c r="C33" s="538">
        <f>'[1]Оъёмные показатели'!$C$6</f>
        <v>6981</v>
      </c>
      <c r="D33" s="438">
        <f>U29*12</f>
        <v>190680947.50799999</v>
      </c>
      <c r="E33" s="538">
        <f>D33/C33</f>
        <v>27314.27410227761</v>
      </c>
    </row>
    <row r="34" spans="1:5" x14ac:dyDescent="0.2">
      <c r="A34" s="563" t="s">
        <v>4299</v>
      </c>
      <c r="B34" s="538">
        <f>B33</f>
        <v>411</v>
      </c>
      <c r="C34" s="538">
        <f>'[1]Оъёмные показатели'!$D$6</f>
        <v>6760</v>
      </c>
      <c r="D34" s="438">
        <f>U28*12</f>
        <v>41607000</v>
      </c>
      <c r="E34" s="554">
        <f>D34/C34</f>
        <v>6154.8816568047341</v>
      </c>
    </row>
    <row r="35" spans="1:5" x14ac:dyDescent="0.2">
      <c r="A35" s="563" t="s">
        <v>4265</v>
      </c>
      <c r="B35" s="538">
        <f>B33</f>
        <v>411</v>
      </c>
      <c r="C35" s="538">
        <f>C33</f>
        <v>6981</v>
      </c>
      <c r="D35" s="560">
        <f>D33+D34</f>
        <v>232287947.50799999</v>
      </c>
      <c r="E35" s="560">
        <f>E33+E34</f>
        <v>33469.155759082343</v>
      </c>
    </row>
  </sheetData>
  <mergeCells count="3">
    <mergeCell ref="A31:A32"/>
    <mergeCell ref="R1:T1"/>
    <mergeCell ref="R2:T2"/>
  </mergeCells>
  <pageMargins left="0.27" right="0.17" top="0.22" bottom="0.23" header="0.18" footer="0.18"/>
  <pageSetup paperSize="9" scale="58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28"/>
  <sheetViews>
    <sheetView topLeftCell="B1" workbookViewId="0">
      <selection activeCell="E1" sqref="E1:G1"/>
    </sheetView>
  </sheetViews>
  <sheetFormatPr defaultRowHeight="12.75" x14ac:dyDescent="0.2"/>
  <cols>
    <col min="1" max="1" width="3.7109375" customWidth="1"/>
    <col min="2" max="2" width="17.42578125" bestFit="1" customWidth="1"/>
    <col min="3" max="3" width="9.5703125" bestFit="1" customWidth="1"/>
    <col min="4" max="4" width="12.42578125" bestFit="1" customWidth="1"/>
    <col min="5" max="5" width="7.140625" bestFit="1" customWidth="1"/>
    <col min="6" max="6" width="11.140625" bestFit="1" customWidth="1"/>
    <col min="7" max="7" width="18.42578125" bestFit="1" customWidth="1"/>
    <col min="9" max="9" width="12" customWidth="1"/>
    <col min="10" max="10" width="11.28515625" customWidth="1"/>
  </cols>
  <sheetData>
    <row r="1" spans="1:7" s="24" customFormat="1" ht="15" x14ac:dyDescent="0.2">
      <c r="E1" s="801" t="s">
        <v>4690</v>
      </c>
      <c r="F1" s="801"/>
      <c r="G1" s="801"/>
    </row>
    <row r="2" spans="1:7" s="24" customFormat="1" ht="15" x14ac:dyDescent="0.2">
      <c r="E2" s="786" t="s">
        <v>4586</v>
      </c>
      <c r="F2" s="786"/>
      <c r="G2" s="786"/>
    </row>
    <row r="3" spans="1:7" s="24" customFormat="1" ht="15" x14ac:dyDescent="0.2"/>
    <row r="4" spans="1:7" s="24" customFormat="1" ht="15" x14ac:dyDescent="0.2"/>
    <row r="5" spans="1:7" s="24" customFormat="1" ht="15" x14ac:dyDescent="0.2"/>
    <row r="6" spans="1:7" ht="15.75" x14ac:dyDescent="0.25">
      <c r="A6" s="10"/>
      <c r="B6" s="10"/>
    </row>
    <row r="7" spans="1:7" ht="49.5" customHeight="1" x14ac:dyDescent="0.2">
      <c r="A7" s="11"/>
      <c r="B7" s="823" t="s">
        <v>4134</v>
      </c>
      <c r="C7" s="823"/>
      <c r="D7" s="823"/>
      <c r="E7" s="823"/>
      <c r="F7" s="823"/>
      <c r="G7" s="823"/>
    </row>
    <row r="8" spans="1:7" x14ac:dyDescent="0.2">
      <c r="A8" s="12"/>
      <c r="B8" s="12"/>
    </row>
    <row r="9" spans="1:7" s="53" customFormat="1" ht="31.15" customHeight="1" x14ac:dyDescent="0.2">
      <c r="A9" s="202" t="s">
        <v>4105</v>
      </c>
      <c r="B9" s="202" t="s">
        <v>4008</v>
      </c>
      <c r="C9" s="203" t="s">
        <v>4009</v>
      </c>
      <c r="D9" s="291" t="s">
        <v>4369</v>
      </c>
      <c r="E9" s="291" t="s">
        <v>4580</v>
      </c>
      <c r="F9" s="291" t="s">
        <v>4360</v>
      </c>
      <c r="G9" s="204" t="s">
        <v>4015</v>
      </c>
    </row>
    <row r="10" spans="1:7" s="56" customFormat="1" ht="11.25" x14ac:dyDescent="0.2">
      <c r="A10" s="54">
        <v>1</v>
      </c>
      <c r="B10" s="55">
        <v>2</v>
      </c>
      <c r="C10" s="54">
        <v>3</v>
      </c>
      <c r="D10" s="55">
        <v>4</v>
      </c>
      <c r="E10" s="54">
        <v>5</v>
      </c>
      <c r="F10" s="55">
        <v>6</v>
      </c>
      <c r="G10" s="54">
        <v>7</v>
      </c>
    </row>
    <row r="11" spans="1:7" s="59" customFormat="1" ht="24.6" customHeight="1" x14ac:dyDescent="0.2">
      <c r="A11" s="60">
        <v>1</v>
      </c>
      <c r="B11" s="58" t="s">
        <v>4135</v>
      </c>
      <c r="C11" s="60">
        <v>1</v>
      </c>
      <c r="D11" s="577">
        <f>350*12</f>
        <v>4200</v>
      </c>
      <c r="E11" s="205">
        <v>1</v>
      </c>
      <c r="F11" s="205">
        <f>D11*E11</f>
        <v>4200</v>
      </c>
      <c r="G11" s="205">
        <f>C11*F11</f>
        <v>4200</v>
      </c>
    </row>
    <row r="12" spans="1:7" s="59" customFormat="1" ht="42.75" customHeight="1" x14ac:dyDescent="0.2">
      <c r="A12" s="60">
        <v>2</v>
      </c>
      <c r="B12" s="58" t="s">
        <v>4011</v>
      </c>
      <c r="C12" s="60">
        <v>1</v>
      </c>
      <c r="D12" s="577">
        <f>160*12</f>
        <v>1920</v>
      </c>
      <c r="E12" s="205">
        <v>1</v>
      </c>
      <c r="F12" s="205">
        <f>D12*E12</f>
        <v>1920</v>
      </c>
      <c r="G12" s="205">
        <f t="shared" ref="G12:G13" si="0">C12*F12</f>
        <v>1920</v>
      </c>
    </row>
    <row r="13" spans="1:7" s="59" customFormat="1" ht="27" customHeight="1" x14ac:dyDescent="0.2">
      <c r="A13" s="60">
        <v>3</v>
      </c>
      <c r="B13" s="58" t="s">
        <v>4136</v>
      </c>
      <c r="C13" s="60">
        <v>1</v>
      </c>
      <c r="D13" s="577">
        <f>265*12</f>
        <v>3180</v>
      </c>
      <c r="E13" s="205">
        <v>1</v>
      </c>
      <c r="F13" s="205">
        <f>D13*E13</f>
        <v>3180</v>
      </c>
      <c r="G13" s="205">
        <f t="shared" si="0"/>
        <v>3180</v>
      </c>
    </row>
    <row r="14" spans="1:7" s="59" customFormat="1" ht="28.5" customHeight="1" x14ac:dyDescent="0.2">
      <c r="A14" s="60">
        <v>4</v>
      </c>
      <c r="B14" s="58" t="s">
        <v>4014</v>
      </c>
      <c r="C14" s="60">
        <v>1</v>
      </c>
      <c r="D14" s="577">
        <f>110*12</f>
        <v>1320</v>
      </c>
      <c r="E14" s="205">
        <v>1</v>
      </c>
      <c r="F14" s="205">
        <f>D14*E14</f>
        <v>1320</v>
      </c>
      <c r="G14" s="205">
        <f>C14*F14</f>
        <v>1320</v>
      </c>
    </row>
    <row r="15" spans="1:7" s="59" customFormat="1" ht="24.6" customHeight="1" x14ac:dyDescent="0.2">
      <c r="A15" s="60">
        <v>5</v>
      </c>
      <c r="B15" s="58" t="s">
        <v>4016</v>
      </c>
      <c r="C15" s="60">
        <v>15</v>
      </c>
      <c r="D15" s="577">
        <f>160*12</f>
        <v>1920</v>
      </c>
      <c r="E15" s="205">
        <v>1</v>
      </c>
      <c r="F15" s="205">
        <f>D15*E15</f>
        <v>1920</v>
      </c>
      <c r="G15" s="205">
        <f>C15*F15</f>
        <v>28800</v>
      </c>
    </row>
    <row r="16" spans="1:7" s="59" customFormat="1" ht="26.25" customHeight="1" x14ac:dyDescent="0.2">
      <c r="A16" s="824" t="s">
        <v>4137</v>
      </c>
      <c r="B16" s="825"/>
      <c r="C16" s="825"/>
      <c r="D16" s="825"/>
      <c r="E16" s="825"/>
      <c r="F16" s="826"/>
      <c r="G16" s="205">
        <f>SUM(G11:G15)</f>
        <v>39420</v>
      </c>
    </row>
    <row r="17" spans="1:6" x14ac:dyDescent="0.2">
      <c r="A17" s="38"/>
      <c r="B17" s="38"/>
      <c r="C17" s="38"/>
      <c r="D17" s="38"/>
      <c r="E17" s="38"/>
    </row>
    <row r="18" spans="1:6" ht="15" hidden="1" x14ac:dyDescent="0.2">
      <c r="B18" s="791" t="s">
        <v>3847</v>
      </c>
      <c r="C18" s="791"/>
      <c r="D18" s="791"/>
      <c r="E18" s="791"/>
      <c r="F18" s="791"/>
    </row>
    <row r="19" spans="1:6" s="23" customFormat="1" ht="17.25" customHeight="1" x14ac:dyDescent="0.2">
      <c r="A19" s="21"/>
    </row>
    <row r="20" spans="1:6" s="23" customFormat="1" ht="18" customHeight="1" x14ac:dyDescent="0.2">
      <c r="A20" s="42"/>
      <c r="B20" s="25"/>
    </row>
    <row r="21" spans="1:6" s="23" customFormat="1" ht="15" x14ac:dyDescent="0.2">
      <c r="A21" s="42"/>
      <c r="B21" s="191"/>
    </row>
    <row r="22" spans="1:6" s="23" customFormat="1" ht="15" x14ac:dyDescent="0.2">
      <c r="A22" s="42"/>
      <c r="B22" s="191"/>
    </row>
    <row r="23" spans="1:6" s="23" customFormat="1" ht="15" x14ac:dyDescent="0.2">
      <c r="A23" s="191"/>
    </row>
    <row r="24" spans="1:6" s="23" customFormat="1" ht="15" x14ac:dyDescent="0.2">
      <c r="A24" s="792"/>
      <c r="B24" s="793"/>
    </row>
    <row r="25" spans="1:6" s="23" customFormat="1" ht="15" customHeight="1" x14ac:dyDescent="0.2">
      <c r="A25" s="788"/>
      <c r="B25" s="788"/>
    </row>
    <row r="26" spans="1:6" s="23" customFormat="1" ht="15" x14ac:dyDescent="0.2">
      <c r="A26" s="788"/>
      <c r="B26" s="788"/>
    </row>
    <row r="27" spans="1:6" s="23" customFormat="1" ht="15" x14ac:dyDescent="0.2">
      <c r="A27" s="788"/>
      <c r="B27" s="788"/>
    </row>
    <row r="28" spans="1:6" s="23" customFormat="1" ht="15" x14ac:dyDescent="0.2">
      <c r="A28" s="191"/>
      <c r="B28" s="191"/>
    </row>
  </sheetData>
  <mergeCells count="9">
    <mergeCell ref="E1:G1"/>
    <mergeCell ref="E2:G2"/>
    <mergeCell ref="A27:B27"/>
    <mergeCell ref="B7:G7"/>
    <mergeCell ref="A16:F16"/>
    <mergeCell ref="B18:F18"/>
    <mergeCell ref="A24:B24"/>
    <mergeCell ref="A25:B25"/>
    <mergeCell ref="A26:B26"/>
  </mergeCells>
  <pageMargins left="0.7" right="0.7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29"/>
  <sheetViews>
    <sheetView workbookViewId="0">
      <selection activeCell="E1" sqref="E1:G1"/>
    </sheetView>
  </sheetViews>
  <sheetFormatPr defaultRowHeight="12.75" x14ac:dyDescent="0.2"/>
  <cols>
    <col min="1" max="1" width="3.7109375" customWidth="1"/>
    <col min="2" max="2" width="18" bestFit="1" customWidth="1"/>
    <col min="3" max="3" width="9.5703125" bestFit="1" customWidth="1"/>
    <col min="4" max="4" width="11.28515625" bestFit="1" customWidth="1"/>
    <col min="5" max="5" width="7.140625" bestFit="1" customWidth="1"/>
    <col min="6" max="6" width="11.140625" bestFit="1" customWidth="1"/>
    <col min="7" max="7" width="18.42578125" bestFit="1" customWidth="1"/>
    <col min="9" max="9" width="14" customWidth="1"/>
  </cols>
  <sheetData>
    <row r="1" spans="1:8" s="24" customFormat="1" ht="15" x14ac:dyDescent="0.2">
      <c r="E1" s="801" t="s">
        <v>4691</v>
      </c>
      <c r="F1" s="801"/>
      <c r="G1" s="801"/>
    </row>
    <row r="2" spans="1:8" s="24" customFormat="1" ht="15" x14ac:dyDescent="0.2">
      <c r="E2" s="786" t="s">
        <v>4586</v>
      </c>
      <c r="F2" s="786"/>
      <c r="G2" s="786"/>
    </row>
    <row r="3" spans="1:8" s="24" customFormat="1" ht="15" x14ac:dyDescent="0.2"/>
    <row r="4" spans="1:8" s="24" customFormat="1" ht="15" x14ac:dyDescent="0.2"/>
    <row r="5" spans="1:8" s="24" customFormat="1" ht="15" x14ac:dyDescent="0.2"/>
    <row r="6" spans="1:8" ht="15.75" x14ac:dyDescent="0.25">
      <c r="A6" s="10"/>
      <c r="B6" s="10"/>
    </row>
    <row r="7" spans="1:8" ht="48" customHeight="1" x14ac:dyDescent="0.2">
      <c r="A7" s="11"/>
      <c r="B7" s="823" t="s">
        <v>4007</v>
      </c>
      <c r="C7" s="823"/>
      <c r="D7" s="823"/>
      <c r="E7" s="823"/>
      <c r="F7" s="823"/>
      <c r="G7" s="823"/>
    </row>
    <row r="8" spans="1:8" x14ac:dyDescent="0.2">
      <c r="A8" s="12"/>
      <c r="B8" s="12"/>
    </row>
    <row r="9" spans="1:8" s="53" customFormat="1" ht="31.15" customHeight="1" x14ac:dyDescent="0.2">
      <c r="A9" s="202" t="s">
        <v>122</v>
      </c>
      <c r="B9" s="202" t="s">
        <v>4008</v>
      </c>
      <c r="C9" s="203" t="s">
        <v>4009</v>
      </c>
      <c r="D9" s="291" t="s">
        <v>4369</v>
      </c>
      <c r="E9" s="291" t="s">
        <v>4580</v>
      </c>
      <c r="F9" s="291" t="s">
        <v>4360</v>
      </c>
      <c r="G9" s="204" t="s">
        <v>4125</v>
      </c>
    </row>
    <row r="10" spans="1:8" s="56" customFormat="1" x14ac:dyDescent="0.2">
      <c r="A10" s="54">
        <v>1</v>
      </c>
      <c r="B10" s="55">
        <v>2</v>
      </c>
      <c r="C10" s="54">
        <v>3</v>
      </c>
      <c r="D10" s="55">
        <v>4</v>
      </c>
      <c r="E10" s="54">
        <v>5</v>
      </c>
      <c r="F10" s="55">
        <v>6</v>
      </c>
      <c r="G10" s="54">
        <v>7</v>
      </c>
      <c r="H10" s="53"/>
    </row>
    <row r="11" spans="1:8" s="59" customFormat="1" ht="17.25" customHeight="1" x14ac:dyDescent="0.2">
      <c r="A11" s="57">
        <v>1</v>
      </c>
      <c r="B11" s="58" t="s">
        <v>4010</v>
      </c>
      <c r="C11" s="60">
        <v>1</v>
      </c>
      <c r="D11" s="582">
        <v>71.09</v>
      </c>
      <c r="E11" s="229">
        <v>1</v>
      </c>
      <c r="F11" s="229">
        <f t="shared" ref="F11:F16" si="0">D11*E11</f>
        <v>71.09</v>
      </c>
      <c r="G11" s="229">
        <f>C11*F11*12</f>
        <v>853.08</v>
      </c>
      <c r="H11" s="53"/>
    </row>
    <row r="12" spans="1:8" s="59" customFormat="1" ht="17.25" customHeight="1" x14ac:dyDescent="0.2">
      <c r="A12" s="57">
        <v>2</v>
      </c>
      <c r="B12" s="58" t="s">
        <v>4011</v>
      </c>
      <c r="C12" s="60">
        <v>1</v>
      </c>
      <c r="D12" s="582">
        <v>23.56</v>
      </c>
      <c r="E12" s="229">
        <v>1</v>
      </c>
      <c r="F12" s="229">
        <f t="shared" si="0"/>
        <v>23.56</v>
      </c>
      <c r="G12" s="229">
        <f t="shared" ref="G12:G16" si="1">C12*F12*12</f>
        <v>282.71999999999997</v>
      </c>
      <c r="H12" s="53"/>
    </row>
    <row r="13" spans="1:8" s="59" customFormat="1" ht="17.25" customHeight="1" x14ac:dyDescent="0.2">
      <c r="A13" s="57">
        <v>3</v>
      </c>
      <c r="B13" s="58" t="s">
        <v>4012</v>
      </c>
      <c r="C13" s="60">
        <v>1</v>
      </c>
      <c r="D13" s="582">
        <v>14.8</v>
      </c>
      <c r="E13" s="229">
        <v>1</v>
      </c>
      <c r="F13" s="229">
        <f t="shared" si="0"/>
        <v>14.8</v>
      </c>
      <c r="G13" s="229">
        <f t="shared" si="1"/>
        <v>177.60000000000002</v>
      </c>
      <c r="H13" s="53"/>
    </row>
    <row r="14" spans="1:8" s="59" customFormat="1" ht="17.25" customHeight="1" x14ac:dyDescent="0.2">
      <c r="A14" s="57">
        <v>4</v>
      </c>
      <c r="B14" s="58" t="s">
        <v>4013</v>
      </c>
      <c r="C14" s="60">
        <v>1</v>
      </c>
      <c r="D14" s="582">
        <v>31.58</v>
      </c>
      <c r="E14" s="229">
        <v>1</v>
      </c>
      <c r="F14" s="229">
        <f t="shared" si="0"/>
        <v>31.58</v>
      </c>
      <c r="G14" s="229">
        <f t="shared" si="1"/>
        <v>378.96</v>
      </c>
      <c r="H14" s="53"/>
    </row>
    <row r="15" spans="1:8" s="59" customFormat="1" ht="17.25" customHeight="1" x14ac:dyDescent="0.2">
      <c r="A15" s="57">
        <v>5</v>
      </c>
      <c r="B15" s="58" t="s">
        <v>4014</v>
      </c>
      <c r="C15" s="60">
        <v>1</v>
      </c>
      <c r="D15" s="582">
        <v>25.6</v>
      </c>
      <c r="E15" s="229">
        <v>1</v>
      </c>
      <c r="F15" s="229">
        <f t="shared" si="0"/>
        <v>25.6</v>
      </c>
      <c r="G15" s="229">
        <f t="shared" si="1"/>
        <v>307.20000000000005</v>
      </c>
      <c r="H15" s="53"/>
    </row>
    <row r="16" spans="1:8" s="59" customFormat="1" ht="17.25" customHeight="1" x14ac:dyDescent="0.2">
      <c r="A16" s="57">
        <v>6</v>
      </c>
      <c r="B16" s="58" t="s">
        <v>4138</v>
      </c>
      <c r="C16" s="60">
        <v>1</v>
      </c>
      <c r="D16" s="582">
        <v>85.34</v>
      </c>
      <c r="E16" s="229">
        <v>1</v>
      </c>
      <c r="F16" s="229">
        <f t="shared" si="0"/>
        <v>85.34</v>
      </c>
      <c r="G16" s="229">
        <f t="shared" si="1"/>
        <v>1024.08</v>
      </c>
      <c r="H16" s="53"/>
    </row>
    <row r="17" spans="1:8" s="59" customFormat="1" ht="26.25" customHeight="1" x14ac:dyDescent="0.2">
      <c r="A17" s="824" t="s">
        <v>4156</v>
      </c>
      <c r="B17" s="825"/>
      <c r="C17" s="825"/>
      <c r="D17" s="825"/>
      <c r="E17" s="825"/>
      <c r="F17" s="826"/>
      <c r="G17" s="205">
        <f>SUM(G11:G16)</f>
        <v>3023.6400000000003</v>
      </c>
      <c r="H17" s="53"/>
    </row>
    <row r="18" spans="1:8" hidden="1" x14ac:dyDescent="0.2">
      <c r="A18" s="38"/>
      <c r="B18" s="38"/>
      <c r="C18" s="38"/>
      <c r="D18" s="277">
        <f>SUM(D11:D16)</f>
        <v>251.97</v>
      </c>
      <c r="E18" s="38"/>
      <c r="H18" s="53"/>
    </row>
    <row r="19" spans="1:8" ht="15" hidden="1" x14ac:dyDescent="0.2">
      <c r="B19" s="791" t="s">
        <v>3847</v>
      </c>
      <c r="C19" s="791"/>
      <c r="D19" s="791"/>
      <c r="E19" s="791"/>
      <c r="F19" s="791"/>
      <c r="H19" s="53"/>
    </row>
    <row r="20" spans="1:8" s="23" customFormat="1" ht="17.25" customHeight="1" x14ac:dyDescent="0.2">
      <c r="A20" s="21"/>
      <c r="H20" s="53"/>
    </row>
    <row r="21" spans="1:8" s="23" customFormat="1" ht="18" customHeight="1" x14ac:dyDescent="0.2">
      <c r="A21" s="42"/>
      <c r="B21" s="25"/>
    </row>
    <row r="22" spans="1:8" s="23" customFormat="1" ht="15" x14ac:dyDescent="0.2">
      <c r="A22" s="42"/>
      <c r="B22" s="191"/>
    </row>
    <row r="23" spans="1:8" s="23" customFormat="1" ht="15" x14ac:dyDescent="0.2">
      <c r="A23" s="42"/>
      <c r="B23" s="191"/>
    </row>
    <row r="24" spans="1:8" s="23" customFormat="1" ht="15" x14ac:dyDescent="0.2">
      <c r="A24" s="191"/>
    </row>
    <row r="25" spans="1:8" s="23" customFormat="1" ht="15" x14ac:dyDescent="0.2">
      <c r="A25" s="792"/>
      <c r="B25" s="793"/>
    </row>
    <row r="26" spans="1:8" s="23" customFormat="1" ht="15" customHeight="1" x14ac:dyDescent="0.2">
      <c r="A26" s="788"/>
      <c r="B26" s="788"/>
    </row>
    <row r="27" spans="1:8" s="23" customFormat="1" ht="15" x14ac:dyDescent="0.2">
      <c r="A27" s="788"/>
      <c r="B27" s="788"/>
    </row>
    <row r="28" spans="1:8" s="23" customFormat="1" ht="15" x14ac:dyDescent="0.2">
      <c r="A28" s="788"/>
      <c r="B28" s="788"/>
    </row>
    <row r="29" spans="1:8" s="23" customFormat="1" ht="15" x14ac:dyDescent="0.2">
      <c r="A29" s="191"/>
      <c r="B29" s="191"/>
    </row>
  </sheetData>
  <mergeCells count="9">
    <mergeCell ref="E1:G1"/>
    <mergeCell ref="E2:G2"/>
    <mergeCell ref="A28:B28"/>
    <mergeCell ref="B7:G7"/>
    <mergeCell ref="A17:F17"/>
    <mergeCell ref="B19:F19"/>
    <mergeCell ref="A25:B25"/>
    <mergeCell ref="A26:B26"/>
    <mergeCell ref="A27:B27"/>
  </mergeCells>
  <pageMargins left="0.7" right="0.7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30"/>
  <sheetViews>
    <sheetView workbookViewId="0">
      <selection activeCell="E1" sqref="E1:G1"/>
    </sheetView>
  </sheetViews>
  <sheetFormatPr defaultRowHeight="12.75" x14ac:dyDescent="0.2"/>
  <cols>
    <col min="1" max="1" width="3.7109375" customWidth="1"/>
    <col min="2" max="2" width="37.5703125" customWidth="1"/>
    <col min="3" max="3" width="9.5703125" bestFit="1" customWidth="1"/>
    <col min="4" max="4" width="11.28515625" bestFit="1" customWidth="1"/>
    <col min="5" max="5" width="7.140625" bestFit="1" customWidth="1"/>
    <col min="6" max="6" width="11.140625" bestFit="1" customWidth="1"/>
    <col min="7" max="7" width="18.42578125" bestFit="1" customWidth="1"/>
    <col min="9" max="9" width="14" customWidth="1"/>
  </cols>
  <sheetData>
    <row r="1" spans="1:8" s="24" customFormat="1" ht="15" x14ac:dyDescent="0.2">
      <c r="E1" s="801" t="s">
        <v>4692</v>
      </c>
      <c r="F1" s="801"/>
      <c r="G1" s="801"/>
    </row>
    <row r="2" spans="1:8" s="24" customFormat="1" ht="15" x14ac:dyDescent="0.2">
      <c r="E2" s="786" t="s">
        <v>4586</v>
      </c>
      <c r="F2" s="786"/>
      <c r="G2" s="786"/>
    </row>
    <row r="3" spans="1:8" s="24" customFormat="1" ht="15" x14ac:dyDescent="0.2"/>
    <row r="4" spans="1:8" s="24" customFormat="1" ht="15" x14ac:dyDescent="0.2"/>
    <row r="5" spans="1:8" s="24" customFormat="1" ht="15" x14ac:dyDescent="0.2"/>
    <row r="6" spans="1:8" ht="15.75" x14ac:dyDescent="0.25">
      <c r="A6" s="10"/>
      <c r="B6" s="10"/>
    </row>
    <row r="7" spans="1:8" ht="48" customHeight="1" x14ac:dyDescent="0.2">
      <c r="A7" s="11"/>
      <c r="B7" s="845" t="s">
        <v>4370</v>
      </c>
      <c r="C7" s="845"/>
      <c r="D7" s="845"/>
      <c r="E7" s="845"/>
      <c r="F7" s="845"/>
      <c r="G7" s="845"/>
    </row>
    <row r="8" spans="1:8" x14ac:dyDescent="0.2">
      <c r="A8" s="12"/>
      <c r="B8" s="12"/>
      <c r="C8" s="95"/>
      <c r="D8" s="95"/>
      <c r="E8" s="95"/>
      <c r="F8" s="95"/>
      <c r="G8" s="95"/>
    </row>
    <row r="9" spans="1:8" s="53" customFormat="1" ht="31.15" customHeight="1" x14ac:dyDescent="0.2">
      <c r="A9" s="494" t="s">
        <v>122</v>
      </c>
      <c r="B9" s="494" t="s">
        <v>4008</v>
      </c>
      <c r="C9" s="492" t="s">
        <v>4009</v>
      </c>
      <c r="D9" s="551" t="s">
        <v>4369</v>
      </c>
      <c r="E9" s="551" t="s">
        <v>4580</v>
      </c>
      <c r="F9" s="551" t="s">
        <v>4360</v>
      </c>
      <c r="G9" s="492" t="s">
        <v>4002</v>
      </c>
    </row>
    <row r="10" spans="1:8" s="56" customFormat="1" x14ac:dyDescent="0.2">
      <c r="A10" s="54">
        <v>1</v>
      </c>
      <c r="B10" s="55">
        <v>2</v>
      </c>
      <c r="C10" s="54">
        <v>3</v>
      </c>
      <c r="D10" s="55">
        <v>4</v>
      </c>
      <c r="E10" s="54">
        <v>5</v>
      </c>
      <c r="F10" s="55">
        <v>6</v>
      </c>
      <c r="G10" s="54">
        <v>7</v>
      </c>
      <c r="H10" s="53"/>
    </row>
    <row r="11" spans="1:8" s="59" customFormat="1" ht="17.25" customHeight="1" x14ac:dyDescent="0.2">
      <c r="A11" s="57">
        <v>1</v>
      </c>
      <c r="B11" s="58" t="s">
        <v>4362</v>
      </c>
      <c r="C11" s="60">
        <v>1</v>
      </c>
      <c r="D11" s="582">
        <v>1800</v>
      </c>
      <c r="E11" s="229">
        <v>1</v>
      </c>
      <c r="F11" s="229">
        <f t="shared" ref="F11:F17" si="0">D11*E11</f>
        <v>1800</v>
      </c>
      <c r="G11" s="229">
        <f t="shared" ref="G11:G17" si="1">C11*F11</f>
        <v>1800</v>
      </c>
      <c r="H11" s="53"/>
    </row>
    <row r="12" spans="1:8" s="59" customFormat="1" ht="30" customHeight="1" x14ac:dyDescent="0.2">
      <c r="A12" s="57">
        <v>2</v>
      </c>
      <c r="B12" s="58" t="s">
        <v>4363</v>
      </c>
      <c r="C12" s="60">
        <v>1</v>
      </c>
      <c r="D12" s="582">
        <v>1900</v>
      </c>
      <c r="E12" s="229">
        <v>1</v>
      </c>
      <c r="F12" s="229">
        <f t="shared" si="0"/>
        <v>1900</v>
      </c>
      <c r="G12" s="229">
        <f t="shared" si="1"/>
        <v>1900</v>
      </c>
      <c r="H12" s="53"/>
    </row>
    <row r="13" spans="1:8" s="59" customFormat="1" ht="29.25" customHeight="1" x14ac:dyDescent="0.2">
      <c r="A13" s="57">
        <v>3</v>
      </c>
      <c r="B13" s="58" t="s">
        <v>4364</v>
      </c>
      <c r="C13" s="60">
        <v>1</v>
      </c>
      <c r="D13" s="582">
        <v>1500</v>
      </c>
      <c r="E13" s="229">
        <v>1</v>
      </c>
      <c r="F13" s="229">
        <f t="shared" si="0"/>
        <v>1500</v>
      </c>
      <c r="G13" s="229">
        <f t="shared" si="1"/>
        <v>1500</v>
      </c>
      <c r="H13" s="53"/>
    </row>
    <row r="14" spans="1:8" s="59" customFormat="1" ht="17.25" customHeight="1" x14ac:dyDescent="0.2">
      <c r="A14" s="57">
        <v>4</v>
      </c>
      <c r="B14" s="58" t="s">
        <v>4365</v>
      </c>
      <c r="C14" s="60">
        <v>1</v>
      </c>
      <c r="D14" s="582">
        <v>1500</v>
      </c>
      <c r="E14" s="229">
        <v>1</v>
      </c>
      <c r="F14" s="229">
        <f t="shared" si="0"/>
        <v>1500</v>
      </c>
      <c r="G14" s="229">
        <f t="shared" si="1"/>
        <v>1500</v>
      </c>
      <c r="H14" s="53"/>
    </row>
    <row r="15" spans="1:8" s="59" customFormat="1" ht="33.75" customHeight="1" x14ac:dyDescent="0.2">
      <c r="A15" s="57">
        <v>5</v>
      </c>
      <c r="B15" s="58" t="s">
        <v>4366</v>
      </c>
      <c r="C15" s="60">
        <v>1</v>
      </c>
      <c r="D15" s="582">
        <v>2000</v>
      </c>
      <c r="E15" s="229">
        <v>1</v>
      </c>
      <c r="F15" s="229">
        <f t="shared" si="0"/>
        <v>2000</v>
      </c>
      <c r="G15" s="229">
        <f t="shared" si="1"/>
        <v>2000</v>
      </c>
      <c r="H15" s="53"/>
    </row>
    <row r="16" spans="1:8" s="59" customFormat="1" ht="17.25" customHeight="1" x14ac:dyDescent="0.2">
      <c r="A16" s="57">
        <v>6</v>
      </c>
      <c r="B16" s="58" t="s">
        <v>4367</v>
      </c>
      <c r="C16" s="60">
        <v>1</v>
      </c>
      <c r="D16" s="582">
        <v>15000</v>
      </c>
      <c r="E16" s="229">
        <v>1</v>
      </c>
      <c r="F16" s="229">
        <f t="shared" si="0"/>
        <v>15000</v>
      </c>
      <c r="G16" s="229">
        <f t="shared" si="1"/>
        <v>15000</v>
      </c>
      <c r="H16" s="53"/>
    </row>
    <row r="17" spans="1:8" s="59" customFormat="1" ht="17.25" customHeight="1" x14ac:dyDescent="0.2">
      <c r="A17" s="57">
        <v>7</v>
      </c>
      <c r="B17" s="58" t="s">
        <v>4368</v>
      </c>
      <c r="C17" s="60">
        <v>1</v>
      </c>
      <c r="D17" s="582">
        <v>1000</v>
      </c>
      <c r="E17" s="229">
        <v>1</v>
      </c>
      <c r="F17" s="229">
        <f t="shared" si="0"/>
        <v>1000</v>
      </c>
      <c r="G17" s="229">
        <f t="shared" si="1"/>
        <v>1000</v>
      </c>
      <c r="H17" s="53"/>
    </row>
    <row r="18" spans="1:8" s="59" customFormat="1" ht="26.25" customHeight="1" x14ac:dyDescent="0.2">
      <c r="A18" s="824" t="s">
        <v>3932</v>
      </c>
      <c r="B18" s="825"/>
      <c r="C18" s="825"/>
      <c r="D18" s="825"/>
      <c r="E18" s="825"/>
      <c r="F18" s="826"/>
      <c r="G18" s="205">
        <f>SUM(G11:G17)</f>
        <v>24700</v>
      </c>
      <c r="H18" s="53"/>
    </row>
    <row r="19" spans="1:8" hidden="1" x14ac:dyDescent="0.2">
      <c r="A19" s="38"/>
      <c r="B19" s="38"/>
      <c r="C19" s="38"/>
      <c r="D19" s="277">
        <f>SUM(D11:D16)</f>
        <v>23700</v>
      </c>
      <c r="E19" s="38"/>
      <c r="H19" s="53"/>
    </row>
    <row r="20" spans="1:8" ht="15" hidden="1" x14ac:dyDescent="0.2">
      <c r="B20" s="791" t="s">
        <v>3847</v>
      </c>
      <c r="C20" s="791"/>
      <c r="D20" s="791"/>
      <c r="E20" s="791"/>
      <c r="F20" s="791"/>
      <c r="H20" s="53"/>
    </row>
    <row r="21" spans="1:8" s="23" customFormat="1" ht="17.25" customHeight="1" x14ac:dyDescent="0.2">
      <c r="A21" s="21"/>
      <c r="H21" s="53"/>
    </row>
    <row r="22" spans="1:8" s="23" customFormat="1" ht="18" customHeight="1" x14ac:dyDescent="0.2">
      <c r="A22" s="42"/>
      <c r="B22" s="493"/>
    </row>
    <row r="23" spans="1:8" s="23" customFormat="1" ht="15" x14ac:dyDescent="0.2">
      <c r="A23" s="42"/>
      <c r="B23" s="491"/>
    </row>
    <row r="24" spans="1:8" s="23" customFormat="1" ht="15" x14ac:dyDescent="0.2">
      <c r="A24" s="42"/>
      <c r="B24" s="491"/>
    </row>
    <row r="25" spans="1:8" s="23" customFormat="1" ht="15" x14ac:dyDescent="0.2">
      <c r="A25" s="491"/>
    </row>
    <row r="26" spans="1:8" s="23" customFormat="1" ht="15" x14ac:dyDescent="0.2">
      <c r="A26" s="792"/>
      <c r="B26" s="793"/>
    </row>
    <row r="27" spans="1:8" s="23" customFormat="1" ht="15" customHeight="1" x14ac:dyDescent="0.2">
      <c r="A27" s="788"/>
      <c r="B27" s="788"/>
    </row>
    <row r="28" spans="1:8" s="23" customFormat="1" ht="15" x14ac:dyDescent="0.2">
      <c r="A28" s="788"/>
      <c r="B28" s="788"/>
    </row>
    <row r="29" spans="1:8" s="23" customFormat="1" ht="15" x14ac:dyDescent="0.2">
      <c r="A29" s="788"/>
      <c r="B29" s="788"/>
    </row>
    <row r="30" spans="1:8" s="23" customFormat="1" ht="15" x14ac:dyDescent="0.2">
      <c r="A30" s="491"/>
      <c r="B30" s="491"/>
    </row>
  </sheetData>
  <mergeCells count="9">
    <mergeCell ref="A27:B27"/>
    <mergeCell ref="A28:B28"/>
    <mergeCell ref="A29:B29"/>
    <mergeCell ref="E1:G1"/>
    <mergeCell ref="E2:G2"/>
    <mergeCell ref="B7:G7"/>
    <mergeCell ref="A18:F18"/>
    <mergeCell ref="B20:F20"/>
    <mergeCell ref="A26:B26"/>
  </mergeCells>
  <pageMargins left="0.7" right="0.7" top="0.75" bottom="0.75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18"/>
  <sheetViews>
    <sheetView workbookViewId="0">
      <selection activeCell="E1" sqref="E1:G1"/>
    </sheetView>
  </sheetViews>
  <sheetFormatPr defaultRowHeight="12.75" x14ac:dyDescent="0.2"/>
  <cols>
    <col min="1" max="1" width="3.7109375" customWidth="1"/>
    <col min="2" max="2" width="30.42578125" bestFit="1" customWidth="1"/>
    <col min="3" max="3" width="9.5703125" bestFit="1" customWidth="1"/>
    <col min="4" max="4" width="11.28515625" bestFit="1" customWidth="1"/>
    <col min="5" max="5" width="11.7109375" bestFit="1" customWidth="1"/>
    <col min="6" max="6" width="10.85546875" customWidth="1"/>
    <col min="7" max="7" width="18.42578125" bestFit="1" customWidth="1"/>
    <col min="9" max="9" width="12.85546875" customWidth="1"/>
  </cols>
  <sheetData>
    <row r="1" spans="1:7" s="24" customFormat="1" ht="15" x14ac:dyDescent="0.2">
      <c r="E1" s="801" t="s">
        <v>4693</v>
      </c>
      <c r="F1" s="801"/>
      <c r="G1" s="801"/>
    </row>
    <row r="2" spans="1:7" s="24" customFormat="1" ht="15" x14ac:dyDescent="0.2">
      <c r="E2" s="786" t="s">
        <v>4586</v>
      </c>
      <c r="F2" s="786"/>
      <c r="G2" s="786"/>
    </row>
    <row r="3" spans="1:7" s="24" customFormat="1" ht="15" x14ac:dyDescent="0.2"/>
    <row r="4" spans="1:7" s="24" customFormat="1" ht="15" x14ac:dyDescent="0.2"/>
    <row r="5" spans="1:7" s="24" customFormat="1" ht="15" x14ac:dyDescent="0.2"/>
    <row r="6" spans="1:7" ht="15.75" x14ac:dyDescent="0.25">
      <c r="A6" s="10"/>
      <c r="B6" s="10"/>
    </row>
    <row r="7" spans="1:7" ht="48" customHeight="1" x14ac:dyDescent="0.2">
      <c r="A7" s="11"/>
      <c r="B7" s="823" t="s">
        <v>4116</v>
      </c>
      <c r="C7" s="823"/>
      <c r="D7" s="823"/>
      <c r="E7" s="823"/>
      <c r="F7" s="823"/>
      <c r="G7" s="823"/>
    </row>
    <row r="8" spans="1:7" x14ac:dyDescent="0.2">
      <c r="A8" s="12"/>
      <c r="B8" s="12"/>
    </row>
    <row r="9" spans="1:7" s="53" customFormat="1" ht="31.15" customHeight="1" x14ac:dyDescent="0.2">
      <c r="A9" s="202" t="s">
        <v>4105</v>
      </c>
      <c r="B9" s="202" t="s">
        <v>4037</v>
      </c>
      <c r="C9" s="306" t="s">
        <v>4009</v>
      </c>
      <c r="D9" s="291" t="s">
        <v>4369</v>
      </c>
      <c r="E9" s="291" t="s">
        <v>4580</v>
      </c>
      <c r="F9" s="291" t="s">
        <v>4360</v>
      </c>
      <c r="G9" s="304" t="s">
        <v>3967</v>
      </c>
    </row>
    <row r="10" spans="1:7" s="56" customFormat="1" ht="11.25" x14ac:dyDescent="0.2">
      <c r="A10" s="54">
        <v>1</v>
      </c>
      <c r="B10" s="55">
        <v>2</v>
      </c>
      <c r="C10" s="54">
        <v>3</v>
      </c>
      <c r="D10" s="55">
        <v>4</v>
      </c>
      <c r="E10" s="54">
        <v>5</v>
      </c>
      <c r="F10" s="55">
        <v>6</v>
      </c>
      <c r="G10" s="54">
        <v>7</v>
      </c>
    </row>
    <row r="11" spans="1:7" s="59" customFormat="1" ht="33.75" customHeight="1" x14ac:dyDescent="0.2">
      <c r="A11" s="57">
        <v>1</v>
      </c>
      <c r="B11" s="213" t="s">
        <v>4045</v>
      </c>
      <c r="C11" s="60">
        <v>50</v>
      </c>
      <c r="D11" s="577">
        <v>31</v>
      </c>
      <c r="E11" s="205">
        <v>1</v>
      </c>
      <c r="F11" s="205">
        <f>D11*E11</f>
        <v>31</v>
      </c>
      <c r="G11" s="205">
        <f>C11*F11</f>
        <v>1550</v>
      </c>
    </row>
    <row r="12" spans="1:7" s="59" customFormat="1" ht="33.75" customHeight="1" x14ac:dyDescent="0.2">
      <c r="A12" s="219"/>
      <c r="B12" s="220"/>
      <c r="C12" s="221"/>
      <c r="D12" s="221"/>
      <c r="E12" s="221"/>
      <c r="F12" s="222"/>
      <c r="G12" s="222"/>
    </row>
    <row r="13" spans="1:7" x14ac:dyDescent="0.2">
      <c r="A13" s="38"/>
      <c r="B13" s="38"/>
      <c r="C13" s="38"/>
      <c r="D13" s="38"/>
      <c r="E13" s="38"/>
      <c r="G13" s="59"/>
    </row>
    <row r="14" spans="1:7" ht="15" hidden="1" x14ac:dyDescent="0.2">
      <c r="B14" s="791" t="s">
        <v>3847</v>
      </c>
      <c r="C14" s="791"/>
      <c r="D14" s="791"/>
      <c r="E14" s="791"/>
      <c r="F14" s="791"/>
    </row>
    <row r="15" spans="1:7" s="23" customFormat="1" ht="15" customHeight="1" x14ac:dyDescent="0.2">
      <c r="A15" s="788"/>
      <c r="B15" s="788"/>
    </row>
    <row r="16" spans="1:7" s="23" customFormat="1" ht="15" x14ac:dyDescent="0.2">
      <c r="A16" s="788"/>
      <c r="B16" s="788"/>
    </row>
    <row r="17" spans="1:2" s="23" customFormat="1" ht="15" x14ac:dyDescent="0.2">
      <c r="A17" s="788"/>
      <c r="B17" s="788"/>
    </row>
    <row r="18" spans="1:2" s="23" customFormat="1" ht="15" x14ac:dyDescent="0.2">
      <c r="A18" s="206"/>
      <c r="B18" s="206"/>
    </row>
  </sheetData>
  <mergeCells count="7">
    <mergeCell ref="A16:B16"/>
    <mergeCell ref="A17:B17"/>
    <mergeCell ref="E1:G1"/>
    <mergeCell ref="E2:G2"/>
    <mergeCell ref="B7:G7"/>
    <mergeCell ref="B14:F14"/>
    <mergeCell ref="A15:B1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23"/>
  <sheetViews>
    <sheetView workbookViewId="0">
      <selection activeCell="O38" sqref="O38"/>
    </sheetView>
  </sheetViews>
  <sheetFormatPr defaultRowHeight="12.75" x14ac:dyDescent="0.2"/>
  <cols>
    <col min="1" max="1" width="3.7109375" customWidth="1"/>
    <col min="2" max="2" width="30.42578125" bestFit="1" customWidth="1"/>
    <col min="3" max="3" width="9.5703125" bestFit="1" customWidth="1"/>
    <col min="4" max="4" width="10.42578125" bestFit="1" customWidth="1"/>
    <col min="5" max="5" width="7.140625" bestFit="1" customWidth="1"/>
    <col min="6" max="6" width="11.140625" bestFit="1" customWidth="1"/>
    <col min="7" max="7" width="18.42578125" bestFit="1" customWidth="1"/>
    <col min="9" max="9" width="12.140625" customWidth="1"/>
  </cols>
  <sheetData>
    <row r="1" spans="1:7" s="24" customFormat="1" ht="15" x14ac:dyDescent="0.2">
      <c r="E1" s="801" t="s">
        <v>4694</v>
      </c>
      <c r="F1" s="801"/>
      <c r="G1" s="801"/>
    </row>
    <row r="2" spans="1:7" s="24" customFormat="1" ht="15" x14ac:dyDescent="0.2">
      <c r="E2" s="786" t="s">
        <v>4586</v>
      </c>
      <c r="F2" s="786"/>
      <c r="G2" s="786"/>
    </row>
    <row r="3" spans="1:7" s="24" customFormat="1" ht="15" x14ac:dyDescent="0.2"/>
    <row r="4" spans="1:7" s="24" customFormat="1" ht="15" x14ac:dyDescent="0.2"/>
    <row r="5" spans="1:7" s="24" customFormat="1" ht="15" x14ac:dyDescent="0.2"/>
    <row r="6" spans="1:7" ht="15.75" x14ac:dyDescent="0.25">
      <c r="A6" s="10"/>
      <c r="B6" s="10"/>
    </row>
    <row r="7" spans="1:7" ht="48" customHeight="1" x14ac:dyDescent="0.2">
      <c r="A7" s="11"/>
      <c r="B7" s="823" t="s">
        <v>4046</v>
      </c>
      <c r="C7" s="823"/>
      <c r="D7" s="823"/>
      <c r="E7" s="823"/>
      <c r="F7" s="823"/>
      <c r="G7" s="823"/>
    </row>
    <row r="8" spans="1:7" x14ac:dyDescent="0.2">
      <c r="A8" s="12"/>
      <c r="B8" s="12"/>
    </row>
    <row r="9" spans="1:7" s="53" customFormat="1" ht="31.15" customHeight="1" x14ac:dyDescent="0.2">
      <c r="A9" s="51" t="s">
        <v>4105</v>
      </c>
      <c r="B9" s="51" t="s">
        <v>4037</v>
      </c>
      <c r="C9" s="207" t="s">
        <v>4009</v>
      </c>
      <c r="D9" s="291" t="s">
        <v>4369</v>
      </c>
      <c r="E9" s="291" t="s">
        <v>4580</v>
      </c>
      <c r="F9" s="291" t="s">
        <v>4360</v>
      </c>
      <c r="G9" s="208" t="s">
        <v>3967</v>
      </c>
    </row>
    <row r="10" spans="1:7" s="56" customFormat="1" ht="11.25" x14ac:dyDescent="0.2">
      <c r="A10" s="54">
        <v>1</v>
      </c>
      <c r="B10" s="55">
        <v>2</v>
      </c>
      <c r="C10" s="54">
        <v>3</v>
      </c>
      <c r="D10" s="55">
        <v>4</v>
      </c>
      <c r="E10" s="54">
        <v>5</v>
      </c>
      <c r="F10" s="55">
        <v>6</v>
      </c>
      <c r="G10" s="54">
        <v>7</v>
      </c>
    </row>
    <row r="11" spans="1:7" s="59" customFormat="1" ht="33.75" customHeight="1" x14ac:dyDescent="0.2">
      <c r="A11" s="60">
        <v>1</v>
      </c>
      <c r="B11" s="213" t="s">
        <v>4045</v>
      </c>
      <c r="C11" s="60">
        <v>150</v>
      </c>
      <c r="D11" s="582">
        <v>31</v>
      </c>
      <c r="E11" s="229">
        <v>1</v>
      </c>
      <c r="F11" s="229">
        <f>D11*E11</f>
        <v>31</v>
      </c>
      <c r="G11" s="229">
        <f>C11*F11</f>
        <v>4650</v>
      </c>
    </row>
    <row r="12" spans="1:7" x14ac:dyDescent="0.2">
      <c r="A12" s="38"/>
      <c r="B12" s="38"/>
      <c r="C12" s="38"/>
      <c r="D12" s="38"/>
      <c r="E12" s="38"/>
      <c r="G12" s="59"/>
    </row>
    <row r="13" spans="1:7" ht="15" hidden="1" x14ac:dyDescent="0.2">
      <c r="B13" s="791" t="s">
        <v>3847</v>
      </c>
      <c r="C13" s="791"/>
      <c r="D13" s="791"/>
      <c r="E13" s="791"/>
      <c r="F13" s="791"/>
    </row>
    <row r="14" spans="1:7" s="23" customFormat="1" ht="17.25" customHeight="1" x14ac:dyDescent="0.2">
      <c r="A14" s="21"/>
    </row>
    <row r="15" spans="1:7" s="23" customFormat="1" ht="18" customHeight="1" x14ac:dyDescent="0.2">
      <c r="A15" s="42"/>
      <c r="B15" s="25"/>
    </row>
    <row r="16" spans="1:7" s="23" customFormat="1" ht="15" x14ac:dyDescent="0.2">
      <c r="A16" s="42"/>
      <c r="B16" s="206"/>
    </row>
    <row r="17" spans="1:2" s="23" customFormat="1" ht="15" x14ac:dyDescent="0.2">
      <c r="A17" s="42"/>
      <c r="B17" s="206"/>
    </row>
    <row r="18" spans="1:2" s="23" customFormat="1" ht="15" x14ac:dyDescent="0.2">
      <c r="A18" s="206"/>
    </row>
    <row r="19" spans="1:2" s="23" customFormat="1" ht="15" x14ac:dyDescent="0.2">
      <c r="A19" s="792"/>
      <c r="B19" s="793"/>
    </row>
    <row r="20" spans="1:2" s="23" customFormat="1" ht="15" customHeight="1" x14ac:dyDescent="0.2">
      <c r="A20" s="788"/>
      <c r="B20" s="788"/>
    </row>
    <row r="21" spans="1:2" s="23" customFormat="1" ht="15" x14ac:dyDescent="0.2">
      <c r="A21" s="788"/>
      <c r="B21" s="788"/>
    </row>
    <row r="22" spans="1:2" s="23" customFormat="1" ht="15" x14ac:dyDescent="0.2">
      <c r="A22" s="788"/>
      <c r="B22" s="788"/>
    </row>
    <row r="23" spans="1:2" s="23" customFormat="1" ht="15" x14ac:dyDescent="0.2">
      <c r="A23" s="206"/>
      <c r="B23" s="206"/>
    </row>
  </sheetData>
  <mergeCells count="8">
    <mergeCell ref="E1:G1"/>
    <mergeCell ref="E2:G2"/>
    <mergeCell ref="A22:B22"/>
    <mergeCell ref="B7:G7"/>
    <mergeCell ref="B13:F13"/>
    <mergeCell ref="A19:B19"/>
    <mergeCell ref="A20:B20"/>
    <mergeCell ref="A21:B2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F42"/>
  <sheetViews>
    <sheetView workbookViewId="0">
      <selection activeCell="A8" sqref="A8"/>
    </sheetView>
  </sheetViews>
  <sheetFormatPr defaultRowHeight="12.75" x14ac:dyDescent="0.2"/>
  <cols>
    <col min="1" max="1" width="60.28515625" style="192" bestFit="1" customWidth="1"/>
    <col min="2" max="2" width="12.5703125" style="495" bestFit="1" customWidth="1"/>
    <col min="3" max="3" width="6.7109375" style="192" bestFit="1" customWidth="1"/>
    <col min="4" max="4" width="12" style="192" bestFit="1" customWidth="1"/>
    <col min="5" max="5" width="6.7109375" style="192" bestFit="1" customWidth="1"/>
    <col min="6" max="6" width="14.28515625" customWidth="1"/>
  </cols>
  <sheetData>
    <row r="1" spans="1:6" ht="15" x14ac:dyDescent="0.2">
      <c r="C1" s="801" t="s">
        <v>4695</v>
      </c>
      <c r="D1" s="801"/>
      <c r="E1" s="801"/>
      <c r="F1" s="801"/>
    </row>
    <row r="2" spans="1:6" ht="15" x14ac:dyDescent="0.2">
      <c r="C2" s="801" t="s">
        <v>4586</v>
      </c>
      <c r="D2" s="801"/>
      <c r="E2" s="801"/>
      <c r="F2" s="801"/>
    </row>
    <row r="5" spans="1:6" ht="55.5" customHeight="1" x14ac:dyDescent="0.2">
      <c r="A5" s="823" t="s">
        <v>4004</v>
      </c>
      <c r="B5" s="823"/>
      <c r="C5" s="823"/>
      <c r="D5" s="823"/>
      <c r="E5" s="823"/>
      <c r="F5" s="823"/>
    </row>
    <row r="8" spans="1:6" ht="38.25" x14ac:dyDescent="0.2">
      <c r="A8" s="201" t="s">
        <v>3968</v>
      </c>
      <c r="B8" s="592" t="s">
        <v>4369</v>
      </c>
      <c r="C8" s="291" t="s">
        <v>4580</v>
      </c>
      <c r="D8" s="291" t="s">
        <v>4360</v>
      </c>
      <c r="E8" s="200" t="s">
        <v>4003</v>
      </c>
      <c r="F8" s="200" t="s">
        <v>4002</v>
      </c>
    </row>
    <row r="9" spans="1:6" ht="24.75" customHeight="1" x14ac:dyDescent="0.2">
      <c r="A9" s="313" t="s">
        <v>3969</v>
      </c>
      <c r="B9" s="596">
        <v>522.74</v>
      </c>
      <c r="C9" s="246">
        <v>1</v>
      </c>
      <c r="D9" s="246">
        <f>B9*C9</f>
        <v>522.74</v>
      </c>
      <c r="E9" s="314">
        <v>23</v>
      </c>
      <c r="F9" s="228">
        <f>D9*E9</f>
        <v>12023.02</v>
      </c>
    </row>
    <row r="10" spans="1:6" ht="15" customHeight="1" x14ac:dyDescent="0.2">
      <c r="A10" s="313" t="s">
        <v>3970</v>
      </c>
      <c r="B10" s="596">
        <v>174.64</v>
      </c>
      <c r="C10" s="246">
        <v>1</v>
      </c>
      <c r="D10" s="246">
        <f t="shared" ref="D10:D30" si="0">B10*C10</f>
        <v>174.64</v>
      </c>
      <c r="E10" s="314">
        <v>23</v>
      </c>
      <c r="F10" s="228">
        <f t="shared" ref="F10:F16" si="1">D10*E10</f>
        <v>4016.72</v>
      </c>
    </row>
    <row r="11" spans="1:6" ht="38.25" customHeight="1" x14ac:dyDescent="0.2">
      <c r="A11" s="313" t="s">
        <v>3971</v>
      </c>
      <c r="B11" s="596">
        <v>1451</v>
      </c>
      <c r="C11" s="246">
        <v>1</v>
      </c>
      <c r="D11" s="246">
        <f>B11*C11</f>
        <v>1451</v>
      </c>
      <c r="E11" s="314">
        <v>1</v>
      </c>
      <c r="F11" s="228">
        <f t="shared" si="1"/>
        <v>1451</v>
      </c>
    </row>
    <row r="12" spans="1:6" ht="48.75" customHeight="1" x14ac:dyDescent="0.2">
      <c r="A12" s="313" t="s">
        <v>3972</v>
      </c>
      <c r="B12" s="596">
        <v>168</v>
      </c>
      <c r="C12" s="246">
        <v>1</v>
      </c>
      <c r="D12" s="246">
        <f t="shared" ref="D12:D17" si="2">B12*C12</f>
        <v>168</v>
      </c>
      <c r="E12" s="314">
        <v>2</v>
      </c>
      <c r="F12" s="228">
        <f t="shared" si="1"/>
        <v>336</v>
      </c>
    </row>
    <row r="13" spans="1:6" ht="60.75" customHeight="1" x14ac:dyDescent="0.2">
      <c r="A13" s="313" t="s">
        <v>3973</v>
      </c>
      <c r="B13" s="596">
        <v>506</v>
      </c>
      <c r="C13" s="246">
        <v>1</v>
      </c>
      <c r="D13" s="246">
        <f t="shared" si="2"/>
        <v>506</v>
      </c>
      <c r="E13" s="314">
        <v>2</v>
      </c>
      <c r="F13" s="228">
        <f>D13*E13</f>
        <v>1012</v>
      </c>
    </row>
    <row r="14" spans="1:6" ht="48.75" customHeight="1" x14ac:dyDescent="0.2">
      <c r="A14" s="313" t="s">
        <v>3974</v>
      </c>
      <c r="B14" s="596">
        <v>506</v>
      </c>
      <c r="C14" s="246">
        <v>1</v>
      </c>
      <c r="D14" s="246">
        <f t="shared" si="2"/>
        <v>506</v>
      </c>
      <c r="E14" s="314">
        <v>2</v>
      </c>
      <c r="F14" s="228">
        <f t="shared" si="1"/>
        <v>1012</v>
      </c>
    </row>
    <row r="15" spans="1:6" ht="60.75" customHeight="1" x14ac:dyDescent="0.2">
      <c r="A15" s="313" t="s">
        <v>3975</v>
      </c>
      <c r="B15" s="596">
        <v>506</v>
      </c>
      <c r="C15" s="246">
        <v>1</v>
      </c>
      <c r="D15" s="246">
        <f t="shared" si="2"/>
        <v>506</v>
      </c>
      <c r="E15" s="314">
        <v>2</v>
      </c>
      <c r="F15" s="228">
        <f t="shared" si="1"/>
        <v>1012</v>
      </c>
    </row>
    <row r="16" spans="1:6" ht="50.25" customHeight="1" x14ac:dyDescent="0.2">
      <c r="A16" s="313" t="s">
        <v>3976</v>
      </c>
      <c r="B16" s="596">
        <v>506</v>
      </c>
      <c r="C16" s="246">
        <v>1</v>
      </c>
      <c r="D16" s="246">
        <f t="shared" si="2"/>
        <v>506</v>
      </c>
      <c r="E16" s="314">
        <v>2</v>
      </c>
      <c r="F16" s="228">
        <f t="shared" si="1"/>
        <v>1012</v>
      </c>
    </row>
    <row r="17" spans="1:6" ht="60.75" customHeight="1" x14ac:dyDescent="0.2">
      <c r="A17" s="313" t="s">
        <v>3977</v>
      </c>
      <c r="B17" s="596">
        <v>506</v>
      </c>
      <c r="C17" s="246">
        <v>1</v>
      </c>
      <c r="D17" s="246">
        <f t="shared" si="2"/>
        <v>506</v>
      </c>
      <c r="E17" s="314">
        <v>2</v>
      </c>
      <c r="F17" s="228">
        <f>D17*E17</f>
        <v>1012</v>
      </c>
    </row>
    <row r="18" spans="1:6" ht="61.5" customHeight="1" x14ac:dyDescent="0.2">
      <c r="A18" s="313" t="s">
        <v>3978</v>
      </c>
      <c r="B18" s="596">
        <v>506</v>
      </c>
      <c r="C18" s="246">
        <v>1</v>
      </c>
      <c r="D18" s="246">
        <f>B18*C18</f>
        <v>506</v>
      </c>
      <c r="E18" s="314">
        <v>2</v>
      </c>
      <c r="F18" s="228">
        <f>D18*E18</f>
        <v>1012</v>
      </c>
    </row>
    <row r="19" spans="1:6" ht="49.5" customHeight="1" x14ac:dyDescent="0.2">
      <c r="A19" s="313" t="s">
        <v>3979</v>
      </c>
      <c r="B19" s="596">
        <v>506</v>
      </c>
      <c r="C19" s="246">
        <v>1</v>
      </c>
      <c r="D19" s="246">
        <v>506</v>
      </c>
      <c r="E19" s="314">
        <v>2</v>
      </c>
      <c r="F19" s="228">
        <f>D19*E19</f>
        <v>1012</v>
      </c>
    </row>
    <row r="20" spans="1:6" ht="49.5" customHeight="1" x14ac:dyDescent="0.2">
      <c r="A20" s="313" t="s">
        <v>3980</v>
      </c>
      <c r="B20" s="596">
        <v>412.8</v>
      </c>
      <c r="C20" s="246">
        <v>1</v>
      </c>
      <c r="D20" s="246">
        <f t="shared" si="0"/>
        <v>412.8</v>
      </c>
      <c r="E20" s="314">
        <v>2</v>
      </c>
      <c r="F20" s="228">
        <f t="shared" ref="F20:F21" si="3">D20*E20</f>
        <v>825.6</v>
      </c>
    </row>
    <row r="21" spans="1:6" ht="49.5" customHeight="1" x14ac:dyDescent="0.2">
      <c r="A21" s="313" t="s">
        <v>3981</v>
      </c>
      <c r="B21" s="596">
        <v>506</v>
      </c>
      <c r="C21" s="246">
        <v>1</v>
      </c>
      <c r="D21" s="246">
        <f t="shared" si="0"/>
        <v>506</v>
      </c>
      <c r="E21" s="314">
        <v>2</v>
      </c>
      <c r="F21" s="228">
        <f t="shared" si="3"/>
        <v>1012</v>
      </c>
    </row>
    <row r="22" spans="1:6" ht="48.75" customHeight="1" x14ac:dyDescent="0.2">
      <c r="A22" s="313" t="s">
        <v>3982</v>
      </c>
      <c r="B22" s="596">
        <v>4560</v>
      </c>
      <c r="C22" s="246">
        <v>1</v>
      </c>
      <c r="D22" s="246">
        <f t="shared" si="0"/>
        <v>4560</v>
      </c>
      <c r="E22" s="314">
        <v>10</v>
      </c>
      <c r="F22" s="228">
        <f>D22*E22</f>
        <v>45600</v>
      </c>
    </row>
    <row r="23" spans="1:6" ht="48.75" customHeight="1" x14ac:dyDescent="0.2">
      <c r="A23" s="313" t="s">
        <v>3983</v>
      </c>
      <c r="B23" s="596">
        <v>2280</v>
      </c>
      <c r="C23" s="246">
        <v>1</v>
      </c>
      <c r="D23" s="246">
        <f t="shared" si="0"/>
        <v>2280</v>
      </c>
      <c r="E23" s="314">
        <v>10</v>
      </c>
      <c r="F23" s="228">
        <f t="shared" ref="F23:F26" si="4">D23*E23</f>
        <v>22800</v>
      </c>
    </row>
    <row r="24" spans="1:6" ht="48.75" customHeight="1" x14ac:dyDescent="0.2">
      <c r="A24" s="315" t="s">
        <v>3984</v>
      </c>
      <c r="B24" s="596">
        <v>868.48</v>
      </c>
      <c r="C24" s="246">
        <v>1</v>
      </c>
      <c r="D24" s="246">
        <f t="shared" si="0"/>
        <v>868.48</v>
      </c>
      <c r="E24" s="314">
        <v>6</v>
      </c>
      <c r="F24" s="228">
        <f t="shared" si="4"/>
        <v>5210.88</v>
      </c>
    </row>
    <row r="25" spans="1:6" ht="48" customHeight="1" x14ac:dyDescent="0.2">
      <c r="A25" s="313" t="s">
        <v>3985</v>
      </c>
      <c r="B25" s="596">
        <v>289.10000000000002</v>
      </c>
      <c r="C25" s="246">
        <v>1</v>
      </c>
      <c r="D25" s="246">
        <f t="shared" si="0"/>
        <v>289.10000000000002</v>
      </c>
      <c r="E25" s="314">
        <v>10</v>
      </c>
      <c r="F25" s="228">
        <f t="shared" si="4"/>
        <v>2891</v>
      </c>
    </row>
    <row r="26" spans="1:6" ht="49.5" hidden="1" customHeight="1" x14ac:dyDescent="0.2">
      <c r="A26" s="313" t="s">
        <v>3986</v>
      </c>
      <c r="B26" s="596">
        <v>289.10000000000002</v>
      </c>
      <c r="C26" s="246">
        <v>1</v>
      </c>
      <c r="D26" s="246">
        <f t="shared" si="0"/>
        <v>289.10000000000002</v>
      </c>
      <c r="E26" s="314"/>
      <c r="F26" s="228">
        <f t="shared" si="4"/>
        <v>0</v>
      </c>
    </row>
    <row r="27" spans="1:6" ht="48.75" customHeight="1" x14ac:dyDescent="0.2">
      <c r="A27" s="313" t="s">
        <v>3987</v>
      </c>
      <c r="B27" s="596">
        <v>289.10000000000002</v>
      </c>
      <c r="C27" s="246">
        <v>1</v>
      </c>
      <c r="D27" s="246">
        <f>B27*C27</f>
        <v>289.10000000000002</v>
      </c>
      <c r="E27" s="314">
        <v>10</v>
      </c>
      <c r="F27" s="228">
        <f>D27*E27</f>
        <v>2891</v>
      </c>
    </row>
    <row r="28" spans="1:6" ht="36.75" customHeight="1" x14ac:dyDescent="0.2">
      <c r="A28" s="313" t="s">
        <v>3988</v>
      </c>
      <c r="B28" s="596">
        <v>375</v>
      </c>
      <c r="C28" s="246">
        <v>1</v>
      </c>
      <c r="D28" s="246">
        <f t="shared" si="0"/>
        <v>375</v>
      </c>
      <c r="E28" s="314">
        <v>2</v>
      </c>
      <c r="F28" s="228">
        <f>D28*E28</f>
        <v>750</v>
      </c>
    </row>
    <row r="29" spans="1:6" ht="37.5" customHeight="1" x14ac:dyDescent="0.2">
      <c r="A29" s="313" t="s">
        <v>3989</v>
      </c>
      <c r="B29" s="596">
        <v>713</v>
      </c>
      <c r="C29" s="246">
        <v>1</v>
      </c>
      <c r="D29" s="246">
        <f t="shared" si="0"/>
        <v>713</v>
      </c>
      <c r="E29" s="314">
        <v>2</v>
      </c>
      <c r="F29" s="228">
        <f t="shared" ref="F29:F30" si="5">D29*E29</f>
        <v>1426</v>
      </c>
    </row>
    <row r="30" spans="1:6" ht="36" x14ac:dyDescent="0.2">
      <c r="A30" s="313" t="s">
        <v>3990</v>
      </c>
      <c r="B30" s="596">
        <v>1604</v>
      </c>
      <c r="C30" s="246">
        <v>1</v>
      </c>
      <c r="D30" s="246">
        <f t="shared" si="0"/>
        <v>1604</v>
      </c>
      <c r="E30" s="314">
        <v>6</v>
      </c>
      <c r="F30" s="228">
        <f t="shared" si="5"/>
        <v>9624</v>
      </c>
    </row>
    <row r="31" spans="1:6" s="190" customFormat="1" ht="15" x14ac:dyDescent="0.25">
      <c r="A31" s="292" t="s">
        <v>3825</v>
      </c>
      <c r="B31" s="597"/>
      <c r="C31" s="246"/>
      <c r="D31" s="293"/>
      <c r="E31" s="293"/>
      <c r="F31" s="316">
        <f>SUM(F9:F30)</f>
        <v>117941.22</v>
      </c>
    </row>
    <row r="32" spans="1:6" ht="26.25" customHeight="1" x14ac:dyDescent="0.25">
      <c r="A32" s="313" t="s">
        <v>3991</v>
      </c>
      <c r="B32" s="598">
        <v>713</v>
      </c>
      <c r="C32" s="246">
        <v>1</v>
      </c>
      <c r="D32" s="247">
        <f t="shared" ref="D32" si="6">B32*C32</f>
        <v>713</v>
      </c>
      <c r="E32" s="314">
        <v>4</v>
      </c>
      <c r="F32" s="228">
        <f t="shared" ref="F32:F41" si="7">D32*E32</f>
        <v>2852</v>
      </c>
    </row>
    <row r="33" spans="1:6" ht="26.25" customHeight="1" x14ac:dyDescent="0.25">
      <c r="A33" s="313" t="s">
        <v>3992</v>
      </c>
      <c r="B33" s="598">
        <v>713</v>
      </c>
      <c r="C33" s="246">
        <v>1</v>
      </c>
      <c r="D33" s="247">
        <f>B33*C33</f>
        <v>713</v>
      </c>
      <c r="E33" s="314">
        <v>4</v>
      </c>
      <c r="F33" s="228">
        <f t="shared" si="7"/>
        <v>2852</v>
      </c>
    </row>
    <row r="34" spans="1:6" ht="39" customHeight="1" x14ac:dyDescent="0.25">
      <c r="A34" s="313" t="s">
        <v>3993</v>
      </c>
      <c r="B34" s="598">
        <v>525</v>
      </c>
      <c r="C34" s="246">
        <v>1</v>
      </c>
      <c r="D34" s="247">
        <f t="shared" ref="D34:D41" si="8">B34*C34</f>
        <v>525</v>
      </c>
      <c r="E34" s="314">
        <v>4</v>
      </c>
      <c r="F34" s="228">
        <f t="shared" si="7"/>
        <v>2100</v>
      </c>
    </row>
    <row r="35" spans="1:6" ht="39.75" customHeight="1" x14ac:dyDescent="0.25">
      <c r="A35" s="313" t="s">
        <v>3994</v>
      </c>
      <c r="B35" s="598">
        <v>503</v>
      </c>
      <c r="C35" s="246">
        <v>1</v>
      </c>
      <c r="D35" s="247">
        <f t="shared" si="8"/>
        <v>503</v>
      </c>
      <c r="E35" s="314">
        <v>4</v>
      </c>
      <c r="F35" s="228">
        <f t="shared" si="7"/>
        <v>2012</v>
      </c>
    </row>
    <row r="36" spans="1:6" ht="25.5" customHeight="1" x14ac:dyDescent="0.25">
      <c r="A36" s="313" t="s">
        <v>3995</v>
      </c>
      <c r="B36" s="598">
        <v>1386.5</v>
      </c>
      <c r="C36" s="246">
        <v>1</v>
      </c>
      <c r="D36" s="247">
        <f t="shared" si="8"/>
        <v>1386.5</v>
      </c>
      <c r="E36" s="314">
        <v>2</v>
      </c>
      <c r="F36" s="228">
        <f t="shared" si="7"/>
        <v>2773</v>
      </c>
    </row>
    <row r="37" spans="1:6" ht="25.5" customHeight="1" x14ac:dyDescent="0.25">
      <c r="A37" s="313" t="s">
        <v>3996</v>
      </c>
      <c r="B37" s="596">
        <v>97.94</v>
      </c>
      <c r="C37" s="246">
        <v>1</v>
      </c>
      <c r="D37" s="247">
        <f t="shared" si="8"/>
        <v>97.94</v>
      </c>
      <c r="E37" s="314">
        <v>4</v>
      </c>
      <c r="F37" s="228">
        <f t="shared" si="7"/>
        <v>391.76</v>
      </c>
    </row>
    <row r="38" spans="1:6" ht="27" customHeight="1" x14ac:dyDescent="0.25">
      <c r="A38" s="313" t="s">
        <v>3997</v>
      </c>
      <c r="B38" s="596">
        <v>506</v>
      </c>
      <c r="C38" s="246">
        <v>1</v>
      </c>
      <c r="D38" s="247">
        <f t="shared" si="8"/>
        <v>506</v>
      </c>
      <c r="E38" s="314">
        <v>4</v>
      </c>
      <c r="F38" s="228">
        <f t="shared" si="7"/>
        <v>2024</v>
      </c>
    </row>
    <row r="39" spans="1:6" ht="26.25" customHeight="1" x14ac:dyDescent="0.25">
      <c r="A39" s="313" t="s">
        <v>3998</v>
      </c>
      <c r="B39" s="596">
        <v>202.96</v>
      </c>
      <c r="C39" s="246">
        <v>1</v>
      </c>
      <c r="D39" s="247">
        <f t="shared" si="8"/>
        <v>202.96</v>
      </c>
      <c r="E39" s="314">
        <v>4</v>
      </c>
      <c r="F39" s="228">
        <f t="shared" si="7"/>
        <v>811.84</v>
      </c>
    </row>
    <row r="40" spans="1:6" ht="24.75" customHeight="1" x14ac:dyDescent="0.25">
      <c r="A40" s="313" t="s">
        <v>3999</v>
      </c>
      <c r="B40" s="596">
        <v>506</v>
      </c>
      <c r="C40" s="246">
        <v>1</v>
      </c>
      <c r="D40" s="247">
        <f t="shared" si="8"/>
        <v>506</v>
      </c>
      <c r="E40" s="314">
        <v>4</v>
      </c>
      <c r="F40" s="228">
        <f t="shared" si="7"/>
        <v>2024</v>
      </c>
    </row>
    <row r="41" spans="1:6" ht="27" customHeight="1" x14ac:dyDescent="0.25">
      <c r="A41" s="313" t="s">
        <v>4000</v>
      </c>
      <c r="B41" s="596">
        <v>506</v>
      </c>
      <c r="C41" s="246">
        <v>1</v>
      </c>
      <c r="D41" s="247">
        <f t="shared" si="8"/>
        <v>506</v>
      </c>
      <c r="E41" s="314">
        <v>4</v>
      </c>
      <c r="F41" s="228">
        <f t="shared" si="7"/>
        <v>2024</v>
      </c>
    </row>
    <row r="42" spans="1:6" s="190" customFormat="1" ht="15" x14ac:dyDescent="0.25">
      <c r="A42" s="846" t="s">
        <v>4001</v>
      </c>
      <c r="B42" s="846"/>
      <c r="C42" s="846"/>
      <c r="D42" s="846"/>
      <c r="E42" s="846"/>
      <c r="F42" s="316">
        <f>SUM(F32:F41)+F31</f>
        <v>137805.82</v>
      </c>
    </row>
  </sheetData>
  <mergeCells count="4">
    <mergeCell ref="A42:E42"/>
    <mergeCell ref="A5:F5"/>
    <mergeCell ref="C2:F2"/>
    <mergeCell ref="C1:F1"/>
  </mergeCells>
  <pageMargins left="0.70866141732283472" right="0.70866141732283472" top="0.74803149606299213" bottom="0.74803149606299213" header="0.31496062992125984" footer="0.31496062992125984"/>
  <pageSetup paperSize="9" scale="79" fitToHeight="2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F30"/>
  <sheetViews>
    <sheetView workbookViewId="0">
      <selection activeCell="C1" sqref="C1:F1"/>
    </sheetView>
  </sheetViews>
  <sheetFormatPr defaultRowHeight="12.75" x14ac:dyDescent="0.2"/>
  <cols>
    <col min="1" max="1" width="58.7109375" style="192" bestFit="1" customWidth="1"/>
    <col min="2" max="2" width="13.140625" style="495" bestFit="1" customWidth="1"/>
    <col min="3" max="3" width="11.140625" style="192" bestFit="1" customWidth="1"/>
    <col min="4" max="4" width="9.7109375" style="192" bestFit="1" customWidth="1"/>
    <col min="5" max="5" width="7.7109375" style="192" customWidth="1"/>
    <col min="8" max="8" width="10.5703125" customWidth="1"/>
  </cols>
  <sheetData>
    <row r="1" spans="1:6" ht="15" x14ac:dyDescent="0.2">
      <c r="C1" s="801" t="s">
        <v>4696</v>
      </c>
      <c r="D1" s="801"/>
      <c r="E1" s="801"/>
      <c r="F1" s="801"/>
    </row>
    <row r="2" spans="1:6" ht="15" x14ac:dyDescent="0.2">
      <c r="C2" s="801" t="s">
        <v>4586</v>
      </c>
      <c r="D2" s="801"/>
      <c r="E2" s="801"/>
      <c r="F2" s="801"/>
    </row>
    <row r="3" spans="1:6" ht="15" x14ac:dyDescent="0.2">
      <c r="F3" s="199"/>
    </row>
    <row r="4" spans="1:6" ht="15" x14ac:dyDescent="0.2">
      <c r="F4" s="199"/>
    </row>
    <row r="5" spans="1:6" ht="51" customHeight="1" x14ac:dyDescent="0.2">
      <c r="A5" s="785" t="s">
        <v>4006</v>
      </c>
      <c r="B5" s="785"/>
      <c r="C5" s="785"/>
      <c r="D5" s="785"/>
      <c r="E5" s="785"/>
      <c r="F5" s="785"/>
    </row>
    <row r="6" spans="1:6" ht="15" x14ac:dyDescent="0.2">
      <c r="F6" s="199"/>
    </row>
    <row r="7" spans="1:6" ht="25.5" x14ac:dyDescent="0.2">
      <c r="A7" s="201" t="s">
        <v>3968</v>
      </c>
      <c r="B7" s="592" t="s">
        <v>4369</v>
      </c>
      <c r="C7" s="291" t="s">
        <v>4580</v>
      </c>
      <c r="D7" s="291" t="s">
        <v>4360</v>
      </c>
      <c r="E7" s="200" t="s">
        <v>4003</v>
      </c>
      <c r="F7" s="200" t="s">
        <v>4002</v>
      </c>
    </row>
    <row r="8" spans="1:6" ht="40.5" hidden="1" customHeight="1" x14ac:dyDescent="0.2">
      <c r="A8" s="193" t="s">
        <v>3969</v>
      </c>
      <c r="B8" s="599">
        <v>418.9</v>
      </c>
      <c r="C8" s="194">
        <v>1</v>
      </c>
      <c r="D8" s="194">
        <f t="shared" ref="D8:D29" si="0">B8*C8</f>
        <v>418.9</v>
      </c>
      <c r="E8" s="195"/>
      <c r="F8" s="186">
        <f t="shared" ref="F8:F28" si="1">E8*D8</f>
        <v>0</v>
      </c>
    </row>
    <row r="9" spans="1:6" ht="15" hidden="1" customHeight="1" x14ac:dyDescent="0.2">
      <c r="A9" s="193" t="s">
        <v>3970</v>
      </c>
      <c r="B9" s="599">
        <v>139.24</v>
      </c>
      <c r="C9" s="194">
        <v>1</v>
      </c>
      <c r="D9" s="194">
        <f t="shared" si="0"/>
        <v>139.24</v>
      </c>
      <c r="E9" s="195">
        <v>0</v>
      </c>
      <c r="F9" s="186">
        <f t="shared" si="1"/>
        <v>0</v>
      </c>
    </row>
    <row r="10" spans="1:6" ht="48.75" customHeight="1" x14ac:dyDescent="0.2">
      <c r="A10" s="193" t="s">
        <v>3971</v>
      </c>
      <c r="B10" s="600">
        <v>1451</v>
      </c>
      <c r="C10" s="319">
        <v>1</v>
      </c>
      <c r="D10" s="319">
        <f t="shared" si="0"/>
        <v>1451</v>
      </c>
      <c r="E10" s="320">
        <v>1</v>
      </c>
      <c r="F10" s="229">
        <f t="shared" si="1"/>
        <v>1451</v>
      </c>
    </row>
    <row r="11" spans="1:6" ht="63" customHeight="1" x14ac:dyDescent="0.2">
      <c r="A11" s="193" t="s">
        <v>3972</v>
      </c>
      <c r="B11" s="600">
        <v>168</v>
      </c>
      <c r="C11" s="319">
        <v>1</v>
      </c>
      <c r="D11" s="319">
        <f t="shared" si="0"/>
        <v>168</v>
      </c>
      <c r="E11" s="320">
        <v>1</v>
      </c>
      <c r="F11" s="229">
        <f t="shared" si="1"/>
        <v>168</v>
      </c>
    </row>
    <row r="12" spans="1:6" ht="60.75" customHeight="1" x14ac:dyDescent="0.2">
      <c r="A12" s="193" t="s">
        <v>3973</v>
      </c>
      <c r="B12" s="600">
        <v>506</v>
      </c>
      <c r="C12" s="319">
        <v>1</v>
      </c>
      <c r="D12" s="319">
        <f t="shared" si="0"/>
        <v>506</v>
      </c>
      <c r="E12" s="320">
        <v>1</v>
      </c>
      <c r="F12" s="229">
        <f t="shared" si="1"/>
        <v>506</v>
      </c>
    </row>
    <row r="13" spans="1:6" ht="60" customHeight="1" x14ac:dyDescent="0.2">
      <c r="A13" s="193" t="s">
        <v>3974</v>
      </c>
      <c r="B13" s="600">
        <v>506</v>
      </c>
      <c r="C13" s="319">
        <v>1</v>
      </c>
      <c r="D13" s="319">
        <f t="shared" si="0"/>
        <v>506</v>
      </c>
      <c r="E13" s="320">
        <v>1</v>
      </c>
      <c r="F13" s="229">
        <f t="shared" si="1"/>
        <v>506</v>
      </c>
    </row>
    <row r="14" spans="1:6" ht="60.75" customHeight="1" x14ac:dyDescent="0.2">
      <c r="A14" s="193" t="s">
        <v>3975</v>
      </c>
      <c r="B14" s="600">
        <v>506</v>
      </c>
      <c r="C14" s="319">
        <v>1</v>
      </c>
      <c r="D14" s="319">
        <f t="shared" si="0"/>
        <v>506</v>
      </c>
      <c r="E14" s="320">
        <v>1</v>
      </c>
      <c r="F14" s="229">
        <f t="shared" si="1"/>
        <v>506</v>
      </c>
    </row>
    <row r="15" spans="1:6" ht="65.25" customHeight="1" x14ac:dyDescent="0.2">
      <c r="A15" s="193" t="s">
        <v>3976</v>
      </c>
      <c r="B15" s="600">
        <v>506</v>
      </c>
      <c r="C15" s="319">
        <v>1</v>
      </c>
      <c r="D15" s="319">
        <f t="shared" si="0"/>
        <v>506</v>
      </c>
      <c r="E15" s="320">
        <v>1</v>
      </c>
      <c r="F15" s="229">
        <f t="shared" si="1"/>
        <v>506</v>
      </c>
    </row>
    <row r="16" spans="1:6" ht="72.75" customHeight="1" x14ac:dyDescent="0.2">
      <c r="A16" s="193" t="s">
        <v>3977</v>
      </c>
      <c r="B16" s="600">
        <v>506</v>
      </c>
      <c r="C16" s="319">
        <v>1</v>
      </c>
      <c r="D16" s="319">
        <f t="shared" si="0"/>
        <v>506</v>
      </c>
      <c r="E16" s="320">
        <v>1</v>
      </c>
      <c r="F16" s="229">
        <f t="shared" si="1"/>
        <v>506</v>
      </c>
    </row>
    <row r="17" spans="1:6" ht="61.5" customHeight="1" x14ac:dyDescent="0.2">
      <c r="A17" s="193" t="s">
        <v>3978</v>
      </c>
      <c r="B17" s="600">
        <v>506</v>
      </c>
      <c r="C17" s="319">
        <v>1</v>
      </c>
      <c r="D17" s="319">
        <f t="shared" si="0"/>
        <v>506</v>
      </c>
      <c r="E17" s="320">
        <v>1</v>
      </c>
      <c r="F17" s="229">
        <f t="shared" si="1"/>
        <v>506</v>
      </c>
    </row>
    <row r="18" spans="1:6" ht="63" customHeight="1" x14ac:dyDescent="0.2">
      <c r="A18" s="193" t="s">
        <v>3979</v>
      </c>
      <c r="B18" s="600">
        <v>202.96</v>
      </c>
      <c r="C18" s="319">
        <v>1</v>
      </c>
      <c r="D18" s="319">
        <f t="shared" si="0"/>
        <v>202.96</v>
      </c>
      <c r="E18" s="320">
        <v>1</v>
      </c>
      <c r="F18" s="229">
        <f t="shared" si="1"/>
        <v>202.96</v>
      </c>
    </row>
    <row r="19" spans="1:6" ht="64.5" customHeight="1" x14ac:dyDescent="0.2">
      <c r="A19" s="193" t="s">
        <v>3980</v>
      </c>
      <c r="B19" s="600">
        <v>506</v>
      </c>
      <c r="C19" s="319">
        <v>1</v>
      </c>
      <c r="D19" s="319">
        <f t="shared" si="0"/>
        <v>506</v>
      </c>
      <c r="E19" s="320">
        <v>1</v>
      </c>
      <c r="F19" s="229">
        <f t="shared" si="1"/>
        <v>506</v>
      </c>
    </row>
    <row r="20" spans="1:6" ht="60" customHeight="1" x14ac:dyDescent="0.2">
      <c r="A20" s="193" t="s">
        <v>3981</v>
      </c>
      <c r="B20" s="600">
        <v>506</v>
      </c>
      <c r="C20" s="319">
        <v>1</v>
      </c>
      <c r="D20" s="319">
        <f t="shared" si="0"/>
        <v>506</v>
      </c>
      <c r="E20" s="320">
        <v>1</v>
      </c>
      <c r="F20" s="229">
        <f t="shared" si="1"/>
        <v>506</v>
      </c>
    </row>
    <row r="21" spans="1:6" ht="65.25" customHeight="1" x14ac:dyDescent="0.2">
      <c r="A21" s="193" t="s">
        <v>3982</v>
      </c>
      <c r="B21" s="600">
        <v>4560</v>
      </c>
      <c r="C21" s="319">
        <v>1</v>
      </c>
      <c r="D21" s="319">
        <f t="shared" si="0"/>
        <v>4560</v>
      </c>
      <c r="E21" s="321"/>
      <c r="F21" s="229">
        <f t="shared" si="1"/>
        <v>0</v>
      </c>
    </row>
    <row r="22" spans="1:6" ht="60" customHeight="1" x14ac:dyDescent="0.2">
      <c r="A22" s="193" t="s">
        <v>3983</v>
      </c>
      <c r="B22" s="600">
        <v>2280</v>
      </c>
      <c r="C22" s="319">
        <v>1</v>
      </c>
      <c r="D22" s="319">
        <f t="shared" si="0"/>
        <v>2280</v>
      </c>
      <c r="E22" s="320">
        <v>4</v>
      </c>
      <c r="F22" s="229">
        <f t="shared" si="1"/>
        <v>9120</v>
      </c>
    </row>
    <row r="23" spans="1:6" ht="73.5" hidden="1" customHeight="1" x14ac:dyDescent="0.2">
      <c r="A23" s="197" t="s">
        <v>3984</v>
      </c>
      <c r="B23" s="600">
        <v>868.48</v>
      </c>
      <c r="C23" s="319">
        <v>1</v>
      </c>
      <c r="D23" s="319">
        <f t="shared" si="0"/>
        <v>868.48</v>
      </c>
      <c r="E23" s="321"/>
      <c r="F23" s="229">
        <f t="shared" si="1"/>
        <v>0</v>
      </c>
    </row>
    <row r="24" spans="1:6" ht="60.75" customHeight="1" x14ac:dyDescent="0.2">
      <c r="A24" s="193" t="s">
        <v>3985</v>
      </c>
      <c r="B24" s="600">
        <v>4560</v>
      </c>
      <c r="C24" s="319">
        <v>1</v>
      </c>
      <c r="D24" s="319">
        <f t="shared" si="0"/>
        <v>4560</v>
      </c>
      <c r="E24" s="320">
        <v>4</v>
      </c>
      <c r="F24" s="229">
        <f t="shared" si="1"/>
        <v>18240</v>
      </c>
    </row>
    <row r="25" spans="1:6" ht="62.25" hidden="1" customHeight="1" x14ac:dyDescent="0.2">
      <c r="A25" s="193" t="s">
        <v>3986</v>
      </c>
      <c r="B25" s="600">
        <v>289.10000000000002</v>
      </c>
      <c r="C25" s="319">
        <v>1</v>
      </c>
      <c r="D25" s="319">
        <f t="shared" si="0"/>
        <v>289.10000000000002</v>
      </c>
      <c r="E25" s="320"/>
      <c r="F25" s="229">
        <f t="shared" si="1"/>
        <v>0</v>
      </c>
    </row>
    <row r="26" spans="1:6" ht="48.75" hidden="1" customHeight="1" x14ac:dyDescent="0.2">
      <c r="A26" s="193" t="s">
        <v>3987</v>
      </c>
      <c r="B26" s="600">
        <v>289.10000000000002</v>
      </c>
      <c r="C26" s="319">
        <v>1</v>
      </c>
      <c r="D26" s="319">
        <f t="shared" si="0"/>
        <v>289.10000000000002</v>
      </c>
      <c r="E26" s="320"/>
      <c r="F26" s="229">
        <f t="shared" si="1"/>
        <v>0</v>
      </c>
    </row>
    <row r="27" spans="1:6" ht="36.75" customHeight="1" x14ac:dyDescent="0.2">
      <c r="A27" s="193" t="s">
        <v>3988</v>
      </c>
      <c r="B27" s="600">
        <v>375</v>
      </c>
      <c r="C27" s="319">
        <v>1</v>
      </c>
      <c r="D27" s="319">
        <f t="shared" si="0"/>
        <v>375</v>
      </c>
      <c r="E27" s="320">
        <v>1</v>
      </c>
      <c r="F27" s="229">
        <f t="shared" si="1"/>
        <v>375</v>
      </c>
    </row>
    <row r="28" spans="1:6" ht="37.5" customHeight="1" x14ac:dyDescent="0.2">
      <c r="A28" s="193" t="s">
        <v>3989</v>
      </c>
      <c r="B28" s="600">
        <v>713</v>
      </c>
      <c r="C28" s="319">
        <v>1</v>
      </c>
      <c r="D28" s="319">
        <f t="shared" si="0"/>
        <v>713</v>
      </c>
      <c r="E28" s="320">
        <v>1</v>
      </c>
      <c r="F28" s="229">
        <f t="shared" si="1"/>
        <v>713</v>
      </c>
    </row>
    <row r="29" spans="1:6" ht="36" hidden="1" x14ac:dyDescent="0.2">
      <c r="A29" s="193" t="s">
        <v>3990</v>
      </c>
      <c r="B29" s="599">
        <v>971.14</v>
      </c>
      <c r="C29" s="194">
        <v>1</v>
      </c>
      <c r="D29" s="194">
        <f t="shared" si="0"/>
        <v>971.14</v>
      </c>
      <c r="E29" s="196"/>
      <c r="F29" s="186"/>
    </row>
    <row r="30" spans="1:6" s="190" customFormat="1" ht="15" x14ac:dyDescent="0.25">
      <c r="A30" s="847" t="s">
        <v>3825</v>
      </c>
      <c r="B30" s="848"/>
      <c r="C30" s="848"/>
      <c r="D30" s="848"/>
      <c r="E30" s="849"/>
      <c r="F30" s="198">
        <f>SUM(F8:F29)</f>
        <v>34317.96</v>
      </c>
    </row>
  </sheetData>
  <mergeCells count="4">
    <mergeCell ref="A30:E30"/>
    <mergeCell ref="A5:F5"/>
    <mergeCell ref="C1:F1"/>
    <mergeCell ref="C2:F2"/>
  </mergeCells>
  <pageMargins left="0.70866141732283472" right="0.70866141732283472" top="0.74803149606299213" bottom="0.74803149606299213" header="0.31496062992125984" footer="0.31496062992125984"/>
  <pageSetup paperSize="9" scale="81" fitToHeight="2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F31"/>
  <sheetViews>
    <sheetView workbookViewId="0">
      <selection activeCell="C1" sqref="C1:F1"/>
    </sheetView>
  </sheetViews>
  <sheetFormatPr defaultRowHeight="12.75" x14ac:dyDescent="0.2"/>
  <cols>
    <col min="1" max="1" width="60.5703125" style="192" customWidth="1"/>
    <col min="2" max="2" width="13.140625" style="495" bestFit="1" customWidth="1"/>
    <col min="3" max="3" width="11.140625" style="192" bestFit="1" customWidth="1"/>
    <col min="4" max="4" width="9.7109375" style="192" bestFit="1" customWidth="1"/>
    <col min="5" max="5" width="6.7109375" style="192" bestFit="1" customWidth="1"/>
  </cols>
  <sheetData>
    <row r="1" spans="1:6" ht="15" x14ac:dyDescent="0.2">
      <c r="C1" s="801" t="s">
        <v>4697</v>
      </c>
      <c r="D1" s="801"/>
      <c r="E1" s="801"/>
      <c r="F1" s="801"/>
    </row>
    <row r="2" spans="1:6" ht="15" x14ac:dyDescent="0.2">
      <c r="C2" s="801" t="s">
        <v>4586</v>
      </c>
      <c r="D2" s="801"/>
      <c r="E2" s="801"/>
      <c r="F2" s="801"/>
    </row>
    <row r="3" spans="1:6" ht="15" x14ac:dyDescent="0.2">
      <c r="F3" s="199"/>
    </row>
    <row r="4" spans="1:6" ht="15" x14ac:dyDescent="0.2">
      <c r="F4" s="199"/>
    </row>
    <row r="5" spans="1:6" ht="48.75" customHeight="1" x14ac:dyDescent="0.2">
      <c r="A5" s="785" t="s">
        <v>4005</v>
      </c>
      <c r="B5" s="785"/>
      <c r="C5" s="785"/>
      <c r="D5" s="785"/>
      <c r="E5" s="785"/>
      <c r="F5" s="785"/>
    </row>
    <row r="6" spans="1:6" ht="15" x14ac:dyDescent="0.2">
      <c r="F6" s="199"/>
    </row>
    <row r="8" spans="1:6" ht="25.5" x14ac:dyDescent="0.2">
      <c r="A8" s="201" t="s">
        <v>3968</v>
      </c>
      <c r="B8" s="592" t="s">
        <v>4369</v>
      </c>
      <c r="C8" s="291" t="s">
        <v>4580</v>
      </c>
      <c r="D8" s="291" t="s">
        <v>4360</v>
      </c>
      <c r="E8" s="200" t="s">
        <v>4003</v>
      </c>
      <c r="F8" s="200" t="s">
        <v>4002</v>
      </c>
    </row>
    <row r="9" spans="1:6" ht="27" customHeight="1" x14ac:dyDescent="0.2">
      <c r="A9" s="193" t="s">
        <v>3969</v>
      </c>
      <c r="B9" s="600">
        <v>418.9</v>
      </c>
      <c r="C9" s="319">
        <v>1</v>
      </c>
      <c r="D9" s="319">
        <f>B9*C9</f>
        <v>418.9</v>
      </c>
      <c r="E9" s="320">
        <v>25</v>
      </c>
      <c r="F9" s="229">
        <f t="shared" ref="F9:F29" si="0">E9*D9</f>
        <v>10472.5</v>
      </c>
    </row>
    <row r="10" spans="1:6" ht="15" customHeight="1" x14ac:dyDescent="0.2">
      <c r="A10" s="193" t="s">
        <v>3970</v>
      </c>
      <c r="B10" s="600">
        <v>139.24</v>
      </c>
      <c r="C10" s="319">
        <v>1</v>
      </c>
      <c r="D10" s="319">
        <f t="shared" ref="D10:D30" si="1">B10*C10</f>
        <v>139.24</v>
      </c>
      <c r="E10" s="320">
        <v>25</v>
      </c>
      <c r="F10" s="229">
        <f t="shared" si="0"/>
        <v>3481</v>
      </c>
    </row>
    <row r="11" spans="1:6" ht="37.5" customHeight="1" x14ac:dyDescent="0.2">
      <c r="A11" s="193" t="s">
        <v>3971</v>
      </c>
      <c r="B11" s="600">
        <v>1451</v>
      </c>
      <c r="C11" s="319">
        <v>1</v>
      </c>
      <c r="D11" s="319">
        <f t="shared" si="1"/>
        <v>1451</v>
      </c>
      <c r="E11" s="320">
        <v>1</v>
      </c>
      <c r="F11" s="229">
        <f t="shared" si="0"/>
        <v>1451</v>
      </c>
    </row>
    <row r="12" spans="1:6" ht="49.5" customHeight="1" x14ac:dyDescent="0.2">
      <c r="A12" s="193" t="s">
        <v>3972</v>
      </c>
      <c r="B12" s="600">
        <v>168</v>
      </c>
      <c r="C12" s="319">
        <v>1</v>
      </c>
      <c r="D12" s="319">
        <f t="shared" si="1"/>
        <v>168</v>
      </c>
      <c r="E12" s="320">
        <v>1</v>
      </c>
      <c r="F12" s="229">
        <f t="shared" si="0"/>
        <v>168</v>
      </c>
    </row>
    <row r="13" spans="1:6" ht="60.75" customHeight="1" x14ac:dyDescent="0.2">
      <c r="A13" s="193" t="s">
        <v>3973</v>
      </c>
      <c r="B13" s="600">
        <v>506</v>
      </c>
      <c r="C13" s="319">
        <v>1</v>
      </c>
      <c r="D13" s="319">
        <f>B13*C13</f>
        <v>506</v>
      </c>
      <c r="E13" s="320">
        <v>1</v>
      </c>
      <c r="F13" s="229">
        <f t="shared" si="0"/>
        <v>506</v>
      </c>
    </row>
    <row r="14" spans="1:6" ht="50.25" customHeight="1" x14ac:dyDescent="0.2">
      <c r="A14" s="193" t="s">
        <v>3974</v>
      </c>
      <c r="B14" s="600">
        <v>506</v>
      </c>
      <c r="C14" s="319">
        <v>1</v>
      </c>
      <c r="D14" s="319">
        <f t="shared" si="1"/>
        <v>506</v>
      </c>
      <c r="E14" s="320">
        <v>1</v>
      </c>
      <c r="F14" s="229">
        <f t="shared" si="0"/>
        <v>506</v>
      </c>
    </row>
    <row r="15" spans="1:6" ht="60.75" customHeight="1" x14ac:dyDescent="0.2">
      <c r="A15" s="193" t="s">
        <v>3975</v>
      </c>
      <c r="B15" s="600">
        <v>506</v>
      </c>
      <c r="C15" s="319">
        <v>1</v>
      </c>
      <c r="D15" s="319">
        <f t="shared" si="1"/>
        <v>506</v>
      </c>
      <c r="E15" s="320">
        <v>1</v>
      </c>
      <c r="F15" s="229">
        <f t="shared" si="0"/>
        <v>506</v>
      </c>
    </row>
    <row r="16" spans="1:6" ht="49.5" customHeight="1" x14ac:dyDescent="0.2">
      <c r="A16" s="193" t="s">
        <v>3976</v>
      </c>
      <c r="B16" s="600">
        <v>506</v>
      </c>
      <c r="C16" s="319">
        <v>1</v>
      </c>
      <c r="D16" s="319">
        <f t="shared" si="1"/>
        <v>506</v>
      </c>
      <c r="E16" s="320">
        <v>1</v>
      </c>
      <c r="F16" s="229">
        <f t="shared" si="0"/>
        <v>506</v>
      </c>
    </row>
    <row r="17" spans="1:6" ht="61.5" customHeight="1" x14ac:dyDescent="0.2">
      <c r="A17" s="193" t="s">
        <v>3977</v>
      </c>
      <c r="B17" s="600">
        <v>506</v>
      </c>
      <c r="C17" s="319">
        <v>1</v>
      </c>
      <c r="D17" s="319">
        <f t="shared" si="1"/>
        <v>506</v>
      </c>
      <c r="E17" s="320">
        <v>1</v>
      </c>
      <c r="F17" s="229">
        <f t="shared" si="0"/>
        <v>506</v>
      </c>
    </row>
    <row r="18" spans="1:6" ht="61.5" customHeight="1" x14ac:dyDescent="0.2">
      <c r="A18" s="193" t="s">
        <v>3978</v>
      </c>
      <c r="B18" s="600">
        <v>506</v>
      </c>
      <c r="C18" s="319">
        <v>1</v>
      </c>
      <c r="D18" s="319">
        <f t="shared" si="1"/>
        <v>506</v>
      </c>
      <c r="E18" s="320">
        <v>1</v>
      </c>
      <c r="F18" s="229">
        <f t="shared" si="0"/>
        <v>506</v>
      </c>
    </row>
    <row r="19" spans="1:6" ht="48.75" customHeight="1" x14ac:dyDescent="0.2">
      <c r="A19" s="193" t="s">
        <v>3979</v>
      </c>
      <c r="B19" s="600">
        <v>202.96</v>
      </c>
      <c r="C19" s="319">
        <v>1</v>
      </c>
      <c r="D19" s="319">
        <f t="shared" si="1"/>
        <v>202.96</v>
      </c>
      <c r="E19" s="320">
        <v>1</v>
      </c>
      <c r="F19" s="229">
        <f t="shared" si="0"/>
        <v>202.96</v>
      </c>
    </row>
    <row r="20" spans="1:6" ht="49.5" customHeight="1" x14ac:dyDescent="0.2">
      <c r="A20" s="193" t="s">
        <v>3980</v>
      </c>
      <c r="B20" s="600">
        <v>506</v>
      </c>
      <c r="C20" s="319">
        <v>1</v>
      </c>
      <c r="D20" s="319">
        <f t="shared" si="1"/>
        <v>506</v>
      </c>
      <c r="E20" s="320">
        <v>1</v>
      </c>
      <c r="F20" s="229">
        <f t="shared" si="0"/>
        <v>506</v>
      </c>
    </row>
    <row r="21" spans="1:6" ht="48.75" customHeight="1" x14ac:dyDescent="0.2">
      <c r="A21" s="193" t="s">
        <v>3981</v>
      </c>
      <c r="B21" s="600">
        <v>506</v>
      </c>
      <c r="C21" s="319">
        <v>1</v>
      </c>
      <c r="D21" s="319">
        <f t="shared" si="1"/>
        <v>506</v>
      </c>
      <c r="E21" s="320">
        <v>1</v>
      </c>
      <c r="F21" s="229">
        <f t="shared" si="0"/>
        <v>506</v>
      </c>
    </row>
    <row r="22" spans="1:6" ht="47.25" hidden="1" customHeight="1" x14ac:dyDescent="0.2">
      <c r="A22" s="193" t="s">
        <v>3982</v>
      </c>
      <c r="B22" s="600">
        <v>263</v>
      </c>
      <c r="C22" s="319">
        <v>1</v>
      </c>
      <c r="D22" s="319">
        <f t="shared" si="1"/>
        <v>263</v>
      </c>
      <c r="E22" s="320"/>
      <c r="F22" s="229">
        <f t="shared" si="0"/>
        <v>0</v>
      </c>
    </row>
    <row r="23" spans="1:6" ht="48.75" hidden="1" customHeight="1" x14ac:dyDescent="0.2">
      <c r="A23" s="193" t="s">
        <v>3983</v>
      </c>
      <c r="B23" s="600">
        <v>263</v>
      </c>
      <c r="C23" s="319">
        <v>1</v>
      </c>
      <c r="D23" s="319">
        <f t="shared" si="1"/>
        <v>263</v>
      </c>
      <c r="E23" s="320"/>
      <c r="F23" s="229">
        <f t="shared" si="0"/>
        <v>0</v>
      </c>
    </row>
    <row r="24" spans="1:6" ht="48.75" hidden="1" customHeight="1" x14ac:dyDescent="0.2">
      <c r="A24" s="197" t="s">
        <v>3984</v>
      </c>
      <c r="B24" s="600">
        <v>868.48</v>
      </c>
      <c r="C24" s="319">
        <v>1</v>
      </c>
      <c r="D24" s="319">
        <f t="shared" si="1"/>
        <v>868.48</v>
      </c>
      <c r="E24" s="320"/>
      <c r="F24" s="229">
        <f t="shared" si="0"/>
        <v>0</v>
      </c>
    </row>
    <row r="25" spans="1:6" ht="50.25" hidden="1" customHeight="1" x14ac:dyDescent="0.2">
      <c r="A25" s="193" t="s">
        <v>3985</v>
      </c>
      <c r="B25" s="600">
        <v>289.10000000000002</v>
      </c>
      <c r="C25" s="319">
        <v>1</v>
      </c>
      <c r="D25" s="319">
        <f t="shared" si="1"/>
        <v>289.10000000000002</v>
      </c>
      <c r="E25" s="320"/>
      <c r="F25" s="229">
        <f t="shared" si="0"/>
        <v>0</v>
      </c>
    </row>
    <row r="26" spans="1:6" ht="48" hidden="1" customHeight="1" x14ac:dyDescent="0.2">
      <c r="A26" s="193" t="s">
        <v>3986</v>
      </c>
      <c r="B26" s="600">
        <v>289.10000000000002</v>
      </c>
      <c r="C26" s="319">
        <v>1</v>
      </c>
      <c r="D26" s="319">
        <f t="shared" si="1"/>
        <v>289.10000000000002</v>
      </c>
      <c r="E26" s="320"/>
      <c r="F26" s="229">
        <f t="shared" si="0"/>
        <v>0</v>
      </c>
    </row>
    <row r="27" spans="1:6" ht="48.75" hidden="1" customHeight="1" x14ac:dyDescent="0.2">
      <c r="A27" s="193" t="s">
        <v>3987</v>
      </c>
      <c r="B27" s="600">
        <v>289.10000000000002</v>
      </c>
      <c r="C27" s="319">
        <v>1</v>
      </c>
      <c r="D27" s="319">
        <f t="shared" si="1"/>
        <v>289.10000000000002</v>
      </c>
      <c r="E27" s="320"/>
      <c r="F27" s="229">
        <f t="shared" si="0"/>
        <v>0</v>
      </c>
    </row>
    <row r="28" spans="1:6" ht="36.75" customHeight="1" x14ac:dyDescent="0.2">
      <c r="A28" s="193" t="s">
        <v>3988</v>
      </c>
      <c r="B28" s="600">
        <v>375</v>
      </c>
      <c r="C28" s="319">
        <v>1</v>
      </c>
      <c r="D28" s="319">
        <f t="shared" si="1"/>
        <v>375</v>
      </c>
      <c r="E28" s="320">
        <v>1</v>
      </c>
      <c r="F28" s="229">
        <f t="shared" si="0"/>
        <v>375</v>
      </c>
    </row>
    <row r="29" spans="1:6" ht="37.5" customHeight="1" x14ac:dyDescent="0.2">
      <c r="A29" s="193" t="s">
        <v>3989</v>
      </c>
      <c r="B29" s="600">
        <v>713</v>
      </c>
      <c r="C29" s="319">
        <v>1</v>
      </c>
      <c r="D29" s="319">
        <f t="shared" si="1"/>
        <v>713</v>
      </c>
      <c r="E29" s="320">
        <v>1</v>
      </c>
      <c r="F29" s="229">
        <f t="shared" si="0"/>
        <v>713</v>
      </c>
    </row>
    <row r="30" spans="1:6" ht="36" hidden="1" x14ac:dyDescent="0.2">
      <c r="A30" s="193" t="s">
        <v>3990</v>
      </c>
      <c r="B30" s="601">
        <v>971.14</v>
      </c>
      <c r="C30" s="317">
        <v>1</v>
      </c>
      <c r="D30" s="317">
        <f t="shared" si="1"/>
        <v>971.14</v>
      </c>
      <c r="E30" s="318"/>
      <c r="F30" s="228"/>
    </row>
    <row r="31" spans="1:6" s="190" customFormat="1" ht="15" x14ac:dyDescent="0.25">
      <c r="A31" s="847" t="s">
        <v>3825</v>
      </c>
      <c r="B31" s="848"/>
      <c r="C31" s="848"/>
      <c r="D31" s="848"/>
      <c r="E31" s="848"/>
      <c r="F31" s="198">
        <f>SUM(F9:F30)</f>
        <v>20911.46</v>
      </c>
    </row>
  </sheetData>
  <mergeCells count="4">
    <mergeCell ref="A31:E31"/>
    <mergeCell ref="A5:F5"/>
    <mergeCell ref="C1:F1"/>
    <mergeCell ref="C2:F2"/>
  </mergeCells>
  <pageMargins left="0.70866141732283472" right="0.70866141732283472" top="0.74803149606299213" bottom="0.74803149606299213" header="0.31496062992125984" footer="0.31496062992125984"/>
  <pageSetup paperSize="9" scale="80" fitToHeight="3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H33"/>
  <sheetViews>
    <sheetView workbookViewId="0">
      <selection activeCell="B22" sqref="B22"/>
    </sheetView>
  </sheetViews>
  <sheetFormatPr defaultRowHeight="12.75" x14ac:dyDescent="0.2"/>
  <cols>
    <col min="1" max="1" width="3.7109375" customWidth="1"/>
    <col min="2" max="2" width="39.5703125" customWidth="1"/>
    <col min="3" max="3" width="17.7109375" customWidth="1"/>
    <col min="4" max="4" width="12.7109375" customWidth="1"/>
    <col min="5" max="5" width="9.85546875" customWidth="1"/>
    <col min="6" max="6" width="12" customWidth="1"/>
    <col min="7" max="7" width="22" customWidth="1"/>
    <col min="9" max="9" width="12.5703125" customWidth="1"/>
  </cols>
  <sheetData>
    <row r="1" spans="1:8" s="24" customFormat="1" ht="15" x14ac:dyDescent="0.2">
      <c r="E1" s="801" t="s">
        <v>4698</v>
      </c>
      <c r="F1" s="801"/>
      <c r="G1" s="801"/>
    </row>
    <row r="2" spans="1:8" s="24" customFormat="1" ht="15" x14ac:dyDescent="0.2">
      <c r="E2" s="801" t="s">
        <v>4586</v>
      </c>
      <c r="F2" s="801"/>
      <c r="G2" s="801"/>
      <c r="H2" s="801"/>
    </row>
    <row r="3" spans="1:8" s="24" customFormat="1" ht="15" x14ac:dyDescent="0.2"/>
    <row r="4" spans="1:8" s="24" customFormat="1" ht="15" x14ac:dyDescent="0.2"/>
    <row r="5" spans="1:8" s="24" customFormat="1" ht="15" x14ac:dyDescent="0.2"/>
    <row r="6" spans="1:8" ht="15.75" x14ac:dyDescent="0.25">
      <c r="A6" s="10"/>
      <c r="B6" s="10"/>
    </row>
    <row r="7" spans="1:8" ht="48" customHeight="1" x14ac:dyDescent="0.2">
      <c r="A7" s="11"/>
      <c r="B7" s="823" t="s">
        <v>4376</v>
      </c>
      <c r="C7" s="823"/>
      <c r="D7" s="823"/>
      <c r="E7" s="823"/>
      <c r="F7" s="823"/>
      <c r="G7" s="823"/>
    </row>
    <row r="8" spans="1:8" x14ac:dyDescent="0.2">
      <c r="A8" s="12"/>
      <c r="B8" s="12"/>
    </row>
    <row r="9" spans="1:8" s="53" customFormat="1" ht="101.25" customHeight="1" x14ac:dyDescent="0.2">
      <c r="A9" s="458" t="s">
        <v>122</v>
      </c>
      <c r="B9" s="458" t="s">
        <v>4017</v>
      </c>
      <c r="C9" s="455" t="s">
        <v>3811</v>
      </c>
      <c r="D9" s="291" t="s">
        <v>4377</v>
      </c>
      <c r="E9" s="291" t="s">
        <v>4580</v>
      </c>
      <c r="F9" s="291" t="s">
        <v>4582</v>
      </c>
      <c r="G9" s="454" t="s">
        <v>4320</v>
      </c>
    </row>
    <row r="10" spans="1:8" s="56" customFormat="1" ht="11.25" x14ac:dyDescent="0.2">
      <c r="A10" s="54">
        <v>1</v>
      </c>
      <c r="B10" s="55">
        <v>2</v>
      </c>
      <c r="C10" s="54">
        <v>3</v>
      </c>
      <c r="D10" s="55">
        <v>4</v>
      </c>
      <c r="E10" s="54">
        <v>5</v>
      </c>
      <c r="F10" s="55">
        <v>6</v>
      </c>
      <c r="G10" s="54">
        <v>7</v>
      </c>
    </row>
    <row r="11" spans="1:8" s="59" customFormat="1" ht="72.75" customHeight="1" x14ac:dyDescent="0.2">
      <c r="A11" s="57">
        <v>1</v>
      </c>
      <c r="B11" s="58" t="s">
        <v>4375</v>
      </c>
      <c r="C11" s="60">
        <v>1</v>
      </c>
      <c r="D11" s="583">
        <v>76294.600000000006</v>
      </c>
      <c r="E11" s="205">
        <v>1</v>
      </c>
      <c r="F11" s="205">
        <f>D11*E11</f>
        <v>76294.600000000006</v>
      </c>
      <c r="G11" s="205">
        <f>C11*F11</f>
        <v>76294.600000000006</v>
      </c>
    </row>
    <row r="12" spans="1:8" s="59" customFormat="1" ht="54.75" hidden="1" customHeight="1" x14ac:dyDescent="0.2">
      <c r="A12" s="57">
        <v>2</v>
      </c>
      <c r="B12" s="58"/>
      <c r="C12" s="60"/>
      <c r="D12" s="245"/>
      <c r="E12" s="205"/>
      <c r="F12" s="205"/>
      <c r="G12" s="205"/>
    </row>
    <row r="13" spans="1:8" s="59" customFormat="1" ht="27" hidden="1" customHeight="1" x14ac:dyDescent="0.2">
      <c r="A13" s="57"/>
      <c r="B13" s="58"/>
      <c r="C13" s="60"/>
      <c r="D13" s="245"/>
      <c r="E13" s="205"/>
      <c r="F13" s="205"/>
      <c r="G13" s="205"/>
    </row>
    <row r="14" spans="1:8" s="59" customFormat="1" ht="28.5" hidden="1" customHeight="1" x14ac:dyDescent="0.2">
      <c r="A14" s="57"/>
      <c r="B14" s="58"/>
      <c r="C14" s="60"/>
      <c r="D14" s="245"/>
      <c r="E14" s="205"/>
      <c r="F14" s="205"/>
      <c r="G14" s="205"/>
    </row>
    <row r="15" spans="1:8" s="59" customFormat="1" ht="24.6" hidden="1" customHeight="1" x14ac:dyDescent="0.2">
      <c r="A15" s="57"/>
      <c r="B15" s="58"/>
      <c r="C15" s="60"/>
      <c r="D15" s="245"/>
      <c r="E15" s="205"/>
      <c r="F15" s="205"/>
      <c r="G15" s="205"/>
    </row>
    <row r="16" spans="1:8" s="59" customFormat="1" ht="27.75" hidden="1" customHeight="1" x14ac:dyDescent="0.2">
      <c r="A16" s="57"/>
      <c r="B16" s="58"/>
      <c r="C16" s="60"/>
      <c r="D16" s="245"/>
      <c r="E16" s="205"/>
      <c r="F16" s="205"/>
      <c r="G16" s="205"/>
    </row>
    <row r="17" spans="1:7" s="59" customFormat="1" ht="26.25" hidden="1" customHeight="1" x14ac:dyDescent="0.2">
      <c r="A17" s="57"/>
      <c r="B17" s="58"/>
      <c r="C17" s="60"/>
      <c r="D17" s="245"/>
      <c r="E17" s="205"/>
      <c r="F17" s="205"/>
      <c r="G17" s="205"/>
    </row>
    <row r="18" spans="1:7" s="59" customFormat="1" ht="26.25" hidden="1" customHeight="1" x14ac:dyDescent="0.2">
      <c r="A18" s="57"/>
      <c r="B18" s="58"/>
      <c r="C18" s="60"/>
      <c r="D18" s="245"/>
      <c r="E18" s="205"/>
      <c r="F18" s="205"/>
      <c r="G18" s="205"/>
    </row>
    <row r="19" spans="1:7" s="59" customFormat="1" ht="26.25" hidden="1" customHeight="1" x14ac:dyDescent="0.2">
      <c r="A19" s="824"/>
      <c r="B19" s="825"/>
      <c r="C19" s="825"/>
      <c r="D19" s="825"/>
      <c r="E19" s="825"/>
      <c r="F19" s="826"/>
      <c r="G19" s="205"/>
    </row>
    <row r="20" spans="1:7" s="59" customFormat="1" ht="62.25" hidden="1" customHeight="1" x14ac:dyDescent="0.2">
      <c r="A20" s="57"/>
      <c r="B20" s="58"/>
      <c r="C20" s="60"/>
      <c r="D20" s="60"/>
      <c r="E20" s="205"/>
      <c r="F20" s="205"/>
      <c r="G20" s="205"/>
    </row>
    <row r="21" spans="1:7" ht="23.25" customHeight="1" x14ac:dyDescent="0.2">
      <c r="A21" s="830"/>
      <c r="B21" s="828"/>
      <c r="C21" s="828"/>
      <c r="D21" s="828"/>
      <c r="E21" s="828"/>
      <c r="F21" s="829"/>
      <c r="G21" s="205">
        <f>G12+G11</f>
        <v>76294.600000000006</v>
      </c>
    </row>
    <row r="22" spans="1:7" x14ac:dyDescent="0.2">
      <c r="A22" s="38"/>
      <c r="B22" s="38"/>
      <c r="C22" s="38"/>
      <c r="D22" s="38"/>
      <c r="E22" s="38"/>
    </row>
    <row r="23" spans="1:7" ht="15" hidden="1" x14ac:dyDescent="0.2">
      <c r="B23" s="791" t="s">
        <v>3847</v>
      </c>
      <c r="C23" s="791"/>
      <c r="D23" s="791"/>
      <c r="E23" s="791"/>
      <c r="F23" s="791"/>
    </row>
    <row r="24" spans="1:7" s="23" customFormat="1" ht="17.25" customHeight="1" x14ac:dyDescent="0.2">
      <c r="A24" s="21"/>
    </row>
    <row r="25" spans="1:7" s="23" customFormat="1" ht="18" customHeight="1" x14ac:dyDescent="0.2">
      <c r="A25" s="42"/>
      <c r="B25" s="456"/>
      <c r="G25" s="545"/>
    </row>
    <row r="26" spans="1:7" s="23" customFormat="1" ht="15" x14ac:dyDescent="0.2">
      <c r="A26" s="42"/>
      <c r="B26" s="453"/>
    </row>
    <row r="27" spans="1:7" s="23" customFormat="1" ht="15" x14ac:dyDescent="0.2">
      <c r="A27" s="42"/>
      <c r="B27" s="453"/>
    </row>
    <row r="28" spans="1:7" s="23" customFormat="1" ht="15" x14ac:dyDescent="0.2">
      <c r="A28" s="453"/>
    </row>
    <row r="29" spans="1:7" s="23" customFormat="1" ht="15" x14ac:dyDescent="0.2">
      <c r="A29" s="792"/>
      <c r="B29" s="793"/>
    </row>
    <row r="30" spans="1:7" s="23" customFormat="1" ht="15" customHeight="1" x14ac:dyDescent="0.2">
      <c r="A30" s="788"/>
      <c r="B30" s="788"/>
    </row>
    <row r="31" spans="1:7" s="23" customFormat="1" ht="15" x14ac:dyDescent="0.2">
      <c r="A31" s="788"/>
      <c r="B31" s="788"/>
    </row>
    <row r="32" spans="1:7" s="23" customFormat="1" ht="15" x14ac:dyDescent="0.2">
      <c r="A32" s="788"/>
      <c r="B32" s="788"/>
    </row>
    <row r="33" spans="1:2" s="23" customFormat="1" ht="15" x14ac:dyDescent="0.2">
      <c r="A33" s="453"/>
      <c r="B33" s="453"/>
    </row>
  </sheetData>
  <mergeCells count="10">
    <mergeCell ref="A29:B29"/>
    <mergeCell ref="A30:B30"/>
    <mergeCell ref="A31:B31"/>
    <mergeCell ref="A32:B32"/>
    <mergeCell ref="E1:G1"/>
    <mergeCell ref="B7:G7"/>
    <mergeCell ref="A19:F19"/>
    <mergeCell ref="A21:F21"/>
    <mergeCell ref="B23:F23"/>
    <mergeCell ref="E2:H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28"/>
  <sheetViews>
    <sheetView view="pageBreakPreview" zoomScale="110" zoomScaleSheetLayoutView="110" workbookViewId="0">
      <selection activeCell="E11" sqref="E11:E14"/>
    </sheetView>
  </sheetViews>
  <sheetFormatPr defaultRowHeight="12.75" x14ac:dyDescent="0.2"/>
  <cols>
    <col min="1" max="1" width="3.7109375" customWidth="1"/>
    <col min="2" max="2" width="31.28515625" customWidth="1"/>
    <col min="3" max="3" width="12.28515625" customWidth="1"/>
    <col min="4" max="4" width="12.85546875" customWidth="1"/>
    <col min="5" max="5" width="12.28515625" customWidth="1"/>
    <col min="6" max="6" width="12.140625" customWidth="1"/>
    <col min="7" max="7" width="12.42578125" customWidth="1"/>
    <col min="8" max="8" width="13.7109375" customWidth="1"/>
  </cols>
  <sheetData>
    <row r="1" spans="1:9" s="24" customFormat="1" ht="15" x14ac:dyDescent="0.2">
      <c r="B1" s="850"/>
      <c r="C1" s="850"/>
      <c r="D1" s="850"/>
      <c r="F1" s="801" t="s">
        <v>4575</v>
      </c>
      <c r="G1" s="801"/>
      <c r="H1" s="801"/>
    </row>
    <row r="2" spans="1:9" s="24" customFormat="1" ht="15" x14ac:dyDescent="0.2">
      <c r="B2" s="850"/>
      <c r="C2" s="850"/>
      <c r="D2" s="850"/>
      <c r="F2" s="801" t="s">
        <v>4586</v>
      </c>
      <c r="G2" s="801"/>
      <c r="H2" s="801"/>
      <c r="I2" s="801"/>
    </row>
    <row r="3" spans="1:9" s="24" customFormat="1" ht="15" x14ac:dyDescent="0.2"/>
    <row r="4" spans="1:9" s="24" customFormat="1" ht="15" x14ac:dyDescent="0.2"/>
    <row r="5" spans="1:9" s="24" customFormat="1" ht="15" x14ac:dyDescent="0.2"/>
    <row r="6" spans="1:9" ht="15.75" x14ac:dyDescent="0.25">
      <c r="A6" s="10"/>
      <c r="B6" s="10"/>
      <c r="C6" s="10"/>
    </row>
    <row r="7" spans="1:9" ht="48" customHeight="1" x14ac:dyDescent="0.2">
      <c r="A7" s="11"/>
      <c r="B7" s="823" t="s">
        <v>3841</v>
      </c>
      <c r="C7" s="823"/>
      <c r="D7" s="823"/>
      <c r="E7" s="823"/>
      <c r="F7" s="823"/>
      <c r="G7" s="823"/>
      <c r="H7" s="823"/>
    </row>
    <row r="8" spans="1:9" x14ac:dyDescent="0.2">
      <c r="A8" s="12"/>
      <c r="B8" s="12"/>
      <c r="C8" s="12"/>
    </row>
    <row r="9" spans="1:9" s="53" customFormat="1" ht="58.9" customHeight="1" x14ac:dyDescent="0.2">
      <c r="A9" s="51" t="s">
        <v>122</v>
      </c>
      <c r="B9" s="51" t="s">
        <v>3733</v>
      </c>
      <c r="C9" s="51" t="s">
        <v>134</v>
      </c>
      <c r="D9" s="591" t="s">
        <v>133</v>
      </c>
      <c r="E9" s="291" t="s">
        <v>4369</v>
      </c>
      <c r="F9" s="291" t="s">
        <v>4580</v>
      </c>
      <c r="G9" s="291" t="s">
        <v>4360</v>
      </c>
      <c r="H9" s="291" t="s">
        <v>3833</v>
      </c>
    </row>
    <row r="10" spans="1:9" s="56" customFormat="1" ht="11.25" x14ac:dyDescent="0.2">
      <c r="A10" s="54">
        <v>1</v>
      </c>
      <c r="B10" s="55">
        <v>2</v>
      </c>
      <c r="C10" s="54">
        <v>3</v>
      </c>
      <c r="D10" s="55">
        <v>4</v>
      </c>
      <c r="E10" s="54">
        <v>5</v>
      </c>
      <c r="F10" s="55">
        <v>6</v>
      </c>
      <c r="G10" s="54">
        <v>7</v>
      </c>
      <c r="H10" s="54">
        <v>8</v>
      </c>
    </row>
    <row r="11" spans="1:9" s="59" customFormat="1" ht="13.9" customHeight="1" x14ac:dyDescent="0.2">
      <c r="A11" s="57">
        <v>1</v>
      </c>
      <c r="B11" s="588" t="s">
        <v>129</v>
      </c>
      <c r="C11" s="588" t="s">
        <v>135</v>
      </c>
      <c r="D11" s="60">
        <v>10</v>
      </c>
      <c r="E11" s="482">
        <v>1500</v>
      </c>
      <c r="F11" s="229">
        <v>1</v>
      </c>
      <c r="G11" s="205">
        <f t="shared" ref="G11:G17" si="0">E11*F11</f>
        <v>1500</v>
      </c>
      <c r="H11" s="205">
        <f>D11*G11</f>
        <v>15000</v>
      </c>
    </row>
    <row r="12" spans="1:9" s="59" customFormat="1" x14ac:dyDescent="0.2">
      <c r="A12" s="57">
        <v>2</v>
      </c>
      <c r="B12" s="588" t="s">
        <v>130</v>
      </c>
      <c r="C12" s="588" t="s">
        <v>45</v>
      </c>
      <c r="D12" s="60">
        <v>16</v>
      </c>
      <c r="E12" s="482">
        <v>3815</v>
      </c>
      <c r="F12" s="229">
        <v>1</v>
      </c>
      <c r="G12" s="205">
        <f t="shared" si="0"/>
        <v>3815</v>
      </c>
      <c r="H12" s="205">
        <f t="shared" ref="H12:H17" si="1">D12*G12</f>
        <v>61040</v>
      </c>
    </row>
    <row r="13" spans="1:9" s="59" customFormat="1" x14ac:dyDescent="0.2">
      <c r="A13" s="57">
        <v>3</v>
      </c>
      <c r="B13" s="588" t="s">
        <v>131</v>
      </c>
      <c r="C13" s="588" t="s">
        <v>45</v>
      </c>
      <c r="D13" s="60">
        <v>4</v>
      </c>
      <c r="E13" s="482">
        <v>6480</v>
      </c>
      <c r="F13" s="229">
        <v>1</v>
      </c>
      <c r="G13" s="205">
        <f t="shared" si="0"/>
        <v>6480</v>
      </c>
      <c r="H13" s="205">
        <f t="shared" si="1"/>
        <v>25920</v>
      </c>
    </row>
    <row r="14" spans="1:9" s="59" customFormat="1" ht="13.9" customHeight="1" x14ac:dyDescent="0.2">
      <c r="A14" s="57">
        <v>4</v>
      </c>
      <c r="B14" s="588" t="s">
        <v>132</v>
      </c>
      <c r="C14" s="588" t="s">
        <v>136</v>
      </c>
      <c r="D14" s="60">
        <v>4</v>
      </c>
      <c r="E14" s="482">
        <v>146</v>
      </c>
      <c r="F14" s="229">
        <v>1</v>
      </c>
      <c r="G14" s="205">
        <f t="shared" si="0"/>
        <v>146</v>
      </c>
      <c r="H14" s="205">
        <f t="shared" si="1"/>
        <v>584</v>
      </c>
    </row>
    <row r="15" spans="1:9" s="59" customFormat="1" ht="13.9" hidden="1" customHeight="1" x14ac:dyDescent="0.2">
      <c r="A15" s="479">
        <v>5</v>
      </c>
      <c r="B15" s="480" t="s">
        <v>4351</v>
      </c>
      <c r="C15" s="480" t="s">
        <v>135</v>
      </c>
      <c r="D15" s="481">
        <v>10</v>
      </c>
      <c r="E15" s="482">
        <v>1340</v>
      </c>
      <c r="F15" s="483">
        <v>1</v>
      </c>
      <c r="G15" s="482">
        <f t="shared" si="0"/>
        <v>1340</v>
      </c>
      <c r="H15" s="482">
        <f t="shared" si="1"/>
        <v>13400</v>
      </c>
    </row>
    <row r="16" spans="1:9" s="59" customFormat="1" ht="13.9" hidden="1" customHeight="1" x14ac:dyDescent="0.2">
      <c r="A16" s="479">
        <v>6</v>
      </c>
      <c r="B16" s="480" t="s">
        <v>4352</v>
      </c>
      <c r="C16" s="480" t="s">
        <v>135</v>
      </c>
      <c r="D16" s="481">
        <v>10</v>
      </c>
      <c r="E16" s="482">
        <v>1330</v>
      </c>
      <c r="F16" s="483">
        <v>1</v>
      </c>
      <c r="G16" s="482">
        <f t="shared" si="0"/>
        <v>1330</v>
      </c>
      <c r="H16" s="482">
        <f t="shared" si="1"/>
        <v>13300</v>
      </c>
    </row>
    <row r="17" spans="1:8" s="59" customFormat="1" ht="13.9" hidden="1" customHeight="1" x14ac:dyDescent="0.2">
      <c r="A17" s="479">
        <v>7</v>
      </c>
      <c r="B17" s="480" t="s">
        <v>4350</v>
      </c>
      <c r="C17" s="480" t="s">
        <v>45</v>
      </c>
      <c r="D17" s="481">
        <v>4</v>
      </c>
      <c r="E17" s="482">
        <v>3300</v>
      </c>
      <c r="F17" s="483">
        <v>1</v>
      </c>
      <c r="G17" s="482">
        <f t="shared" si="0"/>
        <v>3300</v>
      </c>
      <c r="H17" s="482">
        <f t="shared" si="1"/>
        <v>13200</v>
      </c>
    </row>
    <row r="18" spans="1:8" ht="13.5" customHeight="1" x14ac:dyDescent="0.2">
      <c r="A18" s="57"/>
      <c r="B18" s="588" t="s">
        <v>3825</v>
      </c>
      <c r="C18" s="81"/>
      <c r="D18" s="81"/>
      <c r="E18" s="186"/>
      <c r="F18" s="186"/>
      <c r="G18" s="186"/>
      <c r="H18" s="240">
        <f>SUM(H11:H14)</f>
        <v>102544</v>
      </c>
    </row>
    <row r="19" spans="1:8" s="23" customFormat="1" ht="17.25" customHeight="1" x14ac:dyDescent="0.2">
      <c r="A19" s="21"/>
    </row>
    <row r="20" spans="1:8" s="23" customFormat="1" ht="18" customHeight="1" x14ac:dyDescent="0.2">
      <c r="A20" s="42"/>
      <c r="B20" s="590"/>
      <c r="C20" s="590"/>
    </row>
    <row r="21" spans="1:8" s="23" customFormat="1" ht="15" x14ac:dyDescent="0.2">
      <c r="A21" s="42"/>
      <c r="B21" s="586"/>
      <c r="C21" s="586"/>
    </row>
    <row r="22" spans="1:8" s="23" customFormat="1" ht="15" x14ac:dyDescent="0.2">
      <c r="A22" s="42"/>
      <c r="B22" s="586"/>
      <c r="C22" s="586"/>
    </row>
    <row r="23" spans="1:8" s="23" customFormat="1" ht="15" x14ac:dyDescent="0.2">
      <c r="A23" s="586"/>
    </row>
    <row r="24" spans="1:8" s="23" customFormat="1" ht="15" x14ac:dyDescent="0.2">
      <c r="A24" s="792"/>
      <c r="B24" s="793"/>
      <c r="C24" s="587"/>
    </row>
    <row r="25" spans="1:8" s="23" customFormat="1" ht="15" customHeight="1" x14ac:dyDescent="0.2">
      <c r="A25" s="788"/>
      <c r="B25" s="788"/>
      <c r="C25" s="586"/>
    </row>
    <row r="26" spans="1:8" s="23" customFormat="1" ht="15" x14ac:dyDescent="0.2">
      <c r="A26" s="788"/>
      <c r="B26" s="788"/>
      <c r="C26" s="586"/>
    </row>
    <row r="27" spans="1:8" s="23" customFormat="1" ht="15" x14ac:dyDescent="0.2">
      <c r="A27" s="788"/>
      <c r="B27" s="788"/>
      <c r="C27" s="586"/>
    </row>
    <row r="28" spans="1:8" s="23" customFormat="1" ht="15" x14ac:dyDescent="0.2">
      <c r="A28" s="586"/>
      <c r="B28" s="586"/>
      <c r="C28" s="586"/>
    </row>
  </sheetData>
  <mergeCells count="9">
    <mergeCell ref="A25:B25"/>
    <mergeCell ref="A26:B26"/>
    <mergeCell ref="A27:B27"/>
    <mergeCell ref="B1:D1"/>
    <mergeCell ref="F1:H1"/>
    <mergeCell ref="B2:D2"/>
    <mergeCell ref="F2:I2"/>
    <mergeCell ref="B7:H7"/>
    <mergeCell ref="A24:B24"/>
  </mergeCells>
  <pageMargins left="0.75" right="0.34" top="0.68" bottom="1" header="0.32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view="pageBreakPreview" zoomScale="98" zoomScaleSheetLayoutView="98" workbookViewId="0">
      <selection activeCell="G8" sqref="G8"/>
    </sheetView>
  </sheetViews>
  <sheetFormatPr defaultRowHeight="12.75" x14ac:dyDescent="0.2"/>
  <cols>
    <col min="1" max="1" width="13.42578125" customWidth="1"/>
    <col min="2" max="2" width="9.28515625" customWidth="1"/>
    <col min="3" max="3" width="17.28515625" customWidth="1"/>
    <col min="4" max="4" width="18" customWidth="1"/>
    <col min="5" max="5" width="16.5703125" customWidth="1"/>
    <col min="14" max="15" width="9.28515625" bestFit="1" customWidth="1"/>
    <col min="16" max="16" width="11.5703125" customWidth="1"/>
    <col min="18" max="18" width="10.85546875" customWidth="1"/>
    <col min="20" max="20" width="13.85546875" customWidth="1"/>
    <col min="21" max="21" width="13.5703125" customWidth="1"/>
    <col min="22" max="22" width="10.140625" customWidth="1"/>
    <col min="23" max="23" width="15.28515625" customWidth="1"/>
  </cols>
  <sheetData>
    <row r="1" spans="1:21" ht="15" x14ac:dyDescent="0.2">
      <c r="Q1" s="801" t="s">
        <v>4578</v>
      </c>
      <c r="R1" s="801"/>
      <c r="S1" s="801"/>
    </row>
    <row r="2" spans="1:21" ht="27.75" customHeight="1" x14ac:dyDescent="0.2">
      <c r="Q2" s="786" t="s">
        <v>4586</v>
      </c>
      <c r="R2" s="786"/>
      <c r="S2" s="786"/>
    </row>
    <row r="3" spans="1:21" ht="14.25" x14ac:dyDescent="0.2">
      <c r="A3" s="552" t="s">
        <v>4124</v>
      </c>
    </row>
    <row r="6" spans="1:21" s="378" customFormat="1" ht="121.5" customHeight="1" x14ac:dyDescent="0.2">
      <c r="A6" s="430" t="s">
        <v>4196</v>
      </c>
      <c r="B6" s="431" t="s">
        <v>4280</v>
      </c>
      <c r="C6" s="432" t="s">
        <v>4281</v>
      </c>
      <c r="D6" s="431" t="s">
        <v>4282</v>
      </c>
      <c r="E6" s="431" t="s">
        <v>4283</v>
      </c>
      <c r="F6" s="431" t="s">
        <v>4284</v>
      </c>
      <c r="G6" s="431" t="s">
        <v>4285</v>
      </c>
      <c r="H6" s="431" t="s">
        <v>4286</v>
      </c>
      <c r="I6" s="386" t="s">
        <v>4205</v>
      </c>
      <c r="J6" s="386" t="s">
        <v>4206</v>
      </c>
      <c r="K6" s="386" t="s">
        <v>4207</v>
      </c>
      <c r="L6" s="386" t="s">
        <v>4208</v>
      </c>
      <c r="M6" s="386" t="s">
        <v>4209</v>
      </c>
      <c r="N6" s="387" t="s">
        <v>4210</v>
      </c>
      <c r="O6" s="431" t="s">
        <v>4599</v>
      </c>
      <c r="P6" s="386" t="s">
        <v>4212</v>
      </c>
      <c r="Q6" s="386" t="s">
        <v>4213</v>
      </c>
      <c r="R6" s="386" t="s">
        <v>4214</v>
      </c>
      <c r="S6" s="386" t="s">
        <v>4215</v>
      </c>
      <c r="T6" s="440" t="s">
        <v>4599</v>
      </c>
      <c r="U6" s="386" t="s">
        <v>4265</v>
      </c>
    </row>
    <row r="7" spans="1:21" ht="60" x14ac:dyDescent="0.25">
      <c r="A7" s="433" t="s">
        <v>4287</v>
      </c>
      <c r="B7" s="434">
        <v>22</v>
      </c>
      <c r="C7" s="435" t="s">
        <v>4249</v>
      </c>
      <c r="D7" s="436">
        <v>9289</v>
      </c>
      <c r="E7" s="399">
        <v>1</v>
      </c>
      <c r="F7" s="437"/>
      <c r="G7" s="437"/>
      <c r="H7" s="399">
        <f>(D7*E7)*(1+G7/100)</f>
        <v>9289</v>
      </c>
      <c r="I7" s="438"/>
      <c r="J7" s="399"/>
      <c r="K7" s="399"/>
      <c r="L7" s="399"/>
      <c r="M7" s="133">
        <f t="shared" ref="M7:M16" si="0">H7/70*30</f>
        <v>3980.9999999999995</v>
      </c>
      <c r="N7" s="399">
        <f>H7+I7+J7+K7+L7+M7</f>
        <v>13270</v>
      </c>
      <c r="O7" s="399">
        <f>IF(B7=0,0,IF(N7&lt;23000,23000-N7,0))</f>
        <v>9730</v>
      </c>
      <c r="P7" s="399">
        <f>H7*B7</f>
        <v>204358</v>
      </c>
      <c r="Q7" s="399">
        <f t="shared" ref="Q7:Q16" si="1">L7*B7</f>
        <v>0</v>
      </c>
      <c r="R7" s="399">
        <f t="shared" ref="R7:R16" si="2">(I7+J7+K7)*B7</f>
        <v>0</v>
      </c>
      <c r="S7" s="399">
        <f t="shared" ref="S7" si="3">M7*B7</f>
        <v>87581.999999999985</v>
      </c>
      <c r="T7" s="399">
        <f>O7*B7</f>
        <v>214060</v>
      </c>
      <c r="U7" s="399">
        <f>SUM(P7:T7)</f>
        <v>506000</v>
      </c>
    </row>
    <row r="8" spans="1:21" ht="51" x14ac:dyDescent="0.25">
      <c r="A8" s="633" t="s">
        <v>4600</v>
      </c>
      <c r="B8" s="633">
        <v>3</v>
      </c>
      <c r="C8" s="633" t="s">
        <v>4242</v>
      </c>
      <c r="D8" s="633">
        <v>13341</v>
      </c>
      <c r="E8" s="633">
        <v>1</v>
      </c>
      <c r="F8" s="437"/>
      <c r="G8" s="437"/>
      <c r="H8" s="399">
        <f t="shared" ref="H8:H16" si="4">(D8*E8)*(1+G8/100)</f>
        <v>13341</v>
      </c>
      <c r="I8" s="438"/>
      <c r="J8" s="399"/>
      <c r="K8" s="399"/>
      <c r="L8" s="399"/>
      <c r="M8" s="133">
        <f t="shared" si="0"/>
        <v>5717.5714285714284</v>
      </c>
      <c r="N8" s="399">
        <f t="shared" ref="N8:N16" si="5">H8+I8+J8+K8+L8+M8</f>
        <v>19058.571428571428</v>
      </c>
      <c r="O8" s="399">
        <f>IF(B8=0,0,IF(N8&lt;23000,23000-N8,0))</f>
        <v>3941.4285714285725</v>
      </c>
      <c r="P8" s="767">
        <v>0</v>
      </c>
      <c r="Q8" s="768">
        <f t="shared" si="1"/>
        <v>0</v>
      </c>
      <c r="R8" s="768">
        <f t="shared" si="2"/>
        <v>0</v>
      </c>
      <c r="S8" s="767">
        <v>0</v>
      </c>
      <c r="T8" s="399">
        <f>O8*B8</f>
        <v>11824.285714285717</v>
      </c>
      <c r="U8" s="399">
        <f>SUM(P8:T8)</f>
        <v>11824.285714285717</v>
      </c>
    </row>
    <row r="9" spans="1:21" ht="25.5" x14ac:dyDescent="0.25">
      <c r="A9" s="633" t="s">
        <v>4243</v>
      </c>
      <c r="B9" s="633">
        <v>11</v>
      </c>
      <c r="C9" s="633" t="s">
        <v>4601</v>
      </c>
      <c r="D9" s="633">
        <v>14501</v>
      </c>
      <c r="E9" s="633">
        <v>1</v>
      </c>
      <c r="F9" s="437"/>
      <c r="G9" s="437"/>
      <c r="H9" s="399">
        <f t="shared" si="4"/>
        <v>14501</v>
      </c>
      <c r="I9" s="438"/>
      <c r="J9" s="399"/>
      <c r="K9" s="399"/>
      <c r="L9" s="399"/>
      <c r="M9" s="133">
        <f t="shared" si="0"/>
        <v>6214.7142857142853</v>
      </c>
      <c r="N9" s="399">
        <f t="shared" si="5"/>
        <v>20715.714285714286</v>
      </c>
      <c r="O9" s="399">
        <f t="shared" ref="O9:O16" si="6">IF(B9=0,0,IF(N9&lt;23000,23000-N9,0))</f>
        <v>2284.2857142857138</v>
      </c>
      <c r="P9" s="767">
        <v>0</v>
      </c>
      <c r="Q9" s="768">
        <f t="shared" si="1"/>
        <v>0</v>
      </c>
      <c r="R9" s="768">
        <f t="shared" si="2"/>
        <v>0</v>
      </c>
      <c r="S9" s="767">
        <v>0</v>
      </c>
      <c r="T9" s="399">
        <f t="shared" ref="T9:T16" si="7">O9*B9</f>
        <v>25127.142857142851</v>
      </c>
      <c r="U9" s="399">
        <f>SUM(P9:T9)</f>
        <v>25127.142857142851</v>
      </c>
    </row>
    <row r="10" spans="1:21" ht="15" x14ac:dyDescent="0.25">
      <c r="A10" s="633" t="s">
        <v>4602</v>
      </c>
      <c r="B10" s="633">
        <v>11</v>
      </c>
      <c r="C10" s="633" t="s">
        <v>4603</v>
      </c>
      <c r="D10" s="633">
        <v>18056</v>
      </c>
      <c r="E10" s="633">
        <v>1</v>
      </c>
      <c r="F10" s="437"/>
      <c r="G10" s="437"/>
      <c r="H10" s="399">
        <f t="shared" si="4"/>
        <v>18056</v>
      </c>
      <c r="I10" s="438"/>
      <c r="J10" s="399"/>
      <c r="K10" s="399"/>
      <c r="L10" s="399"/>
      <c r="M10" s="133">
        <f t="shared" si="0"/>
        <v>7738.2857142857138</v>
      </c>
      <c r="N10" s="399">
        <f t="shared" si="5"/>
        <v>25794.285714285714</v>
      </c>
      <c r="O10" s="399">
        <f t="shared" si="6"/>
        <v>0</v>
      </c>
      <c r="P10" s="767">
        <v>0</v>
      </c>
      <c r="Q10" s="768">
        <f t="shared" si="1"/>
        <v>0</v>
      </c>
      <c r="R10" s="768">
        <f t="shared" si="2"/>
        <v>0</v>
      </c>
      <c r="S10" s="767">
        <v>0</v>
      </c>
      <c r="T10" s="399">
        <f t="shared" si="7"/>
        <v>0</v>
      </c>
      <c r="U10" s="399">
        <f t="shared" ref="U10:U16" si="8">SUM(P10:T10)</f>
        <v>0</v>
      </c>
    </row>
    <row r="11" spans="1:21" ht="25.5" x14ac:dyDescent="0.25">
      <c r="A11" s="633" t="s">
        <v>4604</v>
      </c>
      <c r="B11" s="633">
        <v>8.5</v>
      </c>
      <c r="C11" s="633"/>
      <c r="D11" s="633">
        <v>10432</v>
      </c>
      <c r="E11" s="633">
        <v>1</v>
      </c>
      <c r="F11" s="437"/>
      <c r="G11" s="437"/>
      <c r="H11" s="399">
        <f t="shared" si="4"/>
        <v>10432</v>
      </c>
      <c r="I11" s="438"/>
      <c r="J11" s="399"/>
      <c r="K11" s="399"/>
      <c r="L11" s="399"/>
      <c r="M11" s="133">
        <f t="shared" si="0"/>
        <v>4470.8571428571431</v>
      </c>
      <c r="N11" s="399">
        <f t="shared" si="5"/>
        <v>14902.857142857143</v>
      </c>
      <c r="O11" s="399">
        <f t="shared" si="6"/>
        <v>8097.1428571428569</v>
      </c>
      <c r="P11" s="767">
        <v>0</v>
      </c>
      <c r="Q11" s="768">
        <f t="shared" si="1"/>
        <v>0</v>
      </c>
      <c r="R11" s="768">
        <f t="shared" si="2"/>
        <v>0</v>
      </c>
      <c r="S11" s="767">
        <v>0</v>
      </c>
      <c r="T11" s="399">
        <f t="shared" si="7"/>
        <v>68825.71428571429</v>
      </c>
      <c r="U11" s="399">
        <f t="shared" si="8"/>
        <v>68825.71428571429</v>
      </c>
    </row>
    <row r="12" spans="1:21" ht="15" x14ac:dyDescent="0.25">
      <c r="A12" s="633" t="s">
        <v>4605</v>
      </c>
      <c r="B12" s="633">
        <v>31</v>
      </c>
      <c r="C12" s="633" t="s">
        <v>4606</v>
      </c>
      <c r="D12" s="633">
        <v>10432</v>
      </c>
      <c r="E12" s="633">
        <v>1</v>
      </c>
      <c r="F12" s="437"/>
      <c r="G12" s="437"/>
      <c r="H12" s="399">
        <f t="shared" si="4"/>
        <v>10432</v>
      </c>
      <c r="I12" s="438"/>
      <c r="J12" s="399"/>
      <c r="K12" s="399"/>
      <c r="L12" s="399"/>
      <c r="M12" s="133">
        <f t="shared" si="0"/>
        <v>4470.8571428571431</v>
      </c>
      <c r="N12" s="399">
        <f t="shared" si="5"/>
        <v>14902.857142857143</v>
      </c>
      <c r="O12" s="399">
        <f t="shared" si="6"/>
        <v>8097.1428571428569</v>
      </c>
      <c r="P12" s="767">
        <v>0</v>
      </c>
      <c r="Q12" s="768">
        <f t="shared" si="1"/>
        <v>0</v>
      </c>
      <c r="R12" s="768">
        <f t="shared" si="2"/>
        <v>0</v>
      </c>
      <c r="S12" s="767">
        <v>0</v>
      </c>
      <c r="T12" s="399">
        <f t="shared" si="7"/>
        <v>251011.42857142855</v>
      </c>
      <c r="U12" s="399">
        <f t="shared" si="8"/>
        <v>251011.42857142855</v>
      </c>
    </row>
    <row r="13" spans="1:21" ht="178.5" x14ac:dyDescent="0.25">
      <c r="A13" s="633" t="s">
        <v>4278</v>
      </c>
      <c r="B13" s="633">
        <v>11</v>
      </c>
      <c r="C13" s="633" t="s">
        <v>4607</v>
      </c>
      <c r="D13" s="633">
        <v>12128</v>
      </c>
      <c r="E13" s="633">
        <v>1</v>
      </c>
      <c r="F13" s="437"/>
      <c r="G13" s="437"/>
      <c r="H13" s="399">
        <f t="shared" si="4"/>
        <v>12128</v>
      </c>
      <c r="I13" s="438"/>
      <c r="J13" s="399"/>
      <c r="K13" s="399"/>
      <c r="L13" s="399"/>
      <c r="M13" s="133">
        <f t="shared" si="0"/>
        <v>5197.7142857142862</v>
      </c>
      <c r="N13" s="399">
        <f t="shared" si="5"/>
        <v>17325.714285714286</v>
      </c>
      <c r="O13" s="399">
        <f t="shared" si="6"/>
        <v>5674.2857142857138</v>
      </c>
      <c r="P13" s="767">
        <v>0</v>
      </c>
      <c r="Q13" s="768">
        <f t="shared" si="1"/>
        <v>0</v>
      </c>
      <c r="R13" s="768">
        <f t="shared" si="2"/>
        <v>0</v>
      </c>
      <c r="S13" s="767">
        <v>0</v>
      </c>
      <c r="T13" s="399">
        <f t="shared" si="7"/>
        <v>62417.142857142855</v>
      </c>
      <c r="U13" s="399">
        <f t="shared" si="8"/>
        <v>62417.142857142855</v>
      </c>
    </row>
    <row r="14" spans="1:21" ht="15" x14ac:dyDescent="0.25">
      <c r="A14" s="633" t="s">
        <v>4252</v>
      </c>
      <c r="B14" s="633">
        <v>29.5</v>
      </c>
      <c r="C14" s="633" t="s">
        <v>4251</v>
      </c>
      <c r="D14" s="633">
        <v>8923</v>
      </c>
      <c r="E14" s="633">
        <v>1</v>
      </c>
      <c r="F14" s="437"/>
      <c r="G14" s="437"/>
      <c r="H14" s="399">
        <f t="shared" si="4"/>
        <v>8923</v>
      </c>
      <c r="I14" s="438"/>
      <c r="J14" s="399"/>
      <c r="K14" s="399"/>
      <c r="L14" s="399"/>
      <c r="M14" s="133">
        <f t="shared" si="0"/>
        <v>3824.1428571428573</v>
      </c>
      <c r="N14" s="399">
        <f t="shared" si="5"/>
        <v>12747.142857142857</v>
      </c>
      <c r="O14" s="399">
        <f t="shared" si="6"/>
        <v>10252.857142857143</v>
      </c>
      <c r="P14" s="767">
        <v>0</v>
      </c>
      <c r="Q14" s="768">
        <f t="shared" si="1"/>
        <v>0</v>
      </c>
      <c r="R14" s="768">
        <f t="shared" si="2"/>
        <v>0</v>
      </c>
      <c r="S14" s="767">
        <v>0</v>
      </c>
      <c r="T14" s="399">
        <f t="shared" si="7"/>
        <v>302459.28571428574</v>
      </c>
      <c r="U14" s="399">
        <f t="shared" si="8"/>
        <v>302459.28571428574</v>
      </c>
    </row>
    <row r="15" spans="1:21" ht="15" x14ac:dyDescent="0.25">
      <c r="A15" s="633" t="s">
        <v>4294</v>
      </c>
      <c r="B15" s="633">
        <f>133.5/2.5</f>
        <v>53.4</v>
      </c>
      <c r="C15" s="633" t="s">
        <v>4251</v>
      </c>
      <c r="D15" s="633">
        <v>8923</v>
      </c>
      <c r="E15" s="633">
        <v>1</v>
      </c>
      <c r="F15" s="437"/>
      <c r="G15" s="437"/>
      <c r="H15" s="399">
        <f t="shared" si="4"/>
        <v>8923</v>
      </c>
      <c r="I15" s="438"/>
      <c r="J15" s="399"/>
      <c r="K15" s="399"/>
      <c r="L15" s="399"/>
      <c r="M15" s="133">
        <f t="shared" si="0"/>
        <v>3824.1428571428573</v>
      </c>
      <c r="N15" s="399">
        <f t="shared" si="5"/>
        <v>12747.142857142857</v>
      </c>
      <c r="O15" s="399">
        <f t="shared" si="6"/>
        <v>10252.857142857143</v>
      </c>
      <c r="P15" s="767">
        <v>0</v>
      </c>
      <c r="Q15" s="768">
        <f t="shared" si="1"/>
        <v>0</v>
      </c>
      <c r="R15" s="768">
        <f t="shared" si="2"/>
        <v>0</v>
      </c>
      <c r="S15" s="767">
        <v>0</v>
      </c>
      <c r="T15" s="399">
        <f t="shared" si="7"/>
        <v>547502.57142857148</v>
      </c>
      <c r="U15" s="399">
        <f t="shared" si="8"/>
        <v>547502.57142857148</v>
      </c>
    </row>
    <row r="16" spans="1:21" ht="38.25" x14ac:dyDescent="0.25">
      <c r="A16" s="633" t="s">
        <v>4608</v>
      </c>
      <c r="B16" s="633">
        <f>248/2.5</f>
        <v>99.2</v>
      </c>
      <c r="C16" s="633" t="s">
        <v>4251</v>
      </c>
      <c r="D16" s="633">
        <v>8923</v>
      </c>
      <c r="E16" s="633">
        <v>1</v>
      </c>
      <c r="F16" s="437"/>
      <c r="G16" s="437"/>
      <c r="H16" s="399">
        <f t="shared" si="4"/>
        <v>8923</v>
      </c>
      <c r="I16" s="438"/>
      <c r="J16" s="399"/>
      <c r="K16" s="399"/>
      <c r="L16" s="399"/>
      <c r="M16" s="133">
        <f t="shared" si="0"/>
        <v>3824.1428571428573</v>
      </c>
      <c r="N16" s="399">
        <f t="shared" si="5"/>
        <v>12747.142857142857</v>
      </c>
      <c r="O16" s="399">
        <f t="shared" si="6"/>
        <v>10252.857142857143</v>
      </c>
      <c r="P16" s="767">
        <v>0</v>
      </c>
      <c r="Q16" s="768">
        <f t="shared" si="1"/>
        <v>0</v>
      </c>
      <c r="R16" s="768">
        <f t="shared" si="2"/>
        <v>0</v>
      </c>
      <c r="S16" s="767">
        <v>0</v>
      </c>
      <c r="T16" s="399">
        <f t="shared" si="7"/>
        <v>1017083.4285714286</v>
      </c>
      <c r="U16" s="399">
        <f t="shared" si="8"/>
        <v>1017083.4285714286</v>
      </c>
    </row>
    <row r="17" spans="1:21" ht="15" x14ac:dyDescent="0.25">
      <c r="A17" s="625"/>
      <c r="B17" s="626"/>
      <c r="C17" s="627"/>
      <c r="D17" s="628"/>
      <c r="E17" s="629"/>
      <c r="F17" s="630"/>
      <c r="G17" s="630"/>
      <c r="H17" s="629"/>
      <c r="I17" s="631"/>
      <c r="J17" s="629"/>
      <c r="K17" s="629"/>
      <c r="L17" s="629"/>
      <c r="M17" s="632"/>
      <c r="N17" s="629"/>
      <c r="O17" s="629"/>
      <c r="P17" s="629"/>
      <c r="Q17" s="629"/>
      <c r="R17" s="629"/>
      <c r="S17" s="629"/>
      <c r="T17" s="629"/>
      <c r="U17" s="629">
        <f>SUM(U7:U16)</f>
        <v>2792251</v>
      </c>
    </row>
    <row r="18" spans="1:21" x14ac:dyDescent="0.2">
      <c r="A18" s="95"/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</row>
    <row r="19" spans="1:21" s="382" customFormat="1" ht="51" x14ac:dyDescent="0.2">
      <c r="A19" s="798" t="s">
        <v>4255</v>
      </c>
      <c r="B19" s="798"/>
      <c r="C19" s="558" t="s">
        <v>4050</v>
      </c>
      <c r="D19" s="559"/>
      <c r="E19" s="522" t="s">
        <v>4266</v>
      </c>
      <c r="F19" s="522" t="s">
        <v>4267</v>
      </c>
      <c r="G19" s="553"/>
      <c r="H19" s="553"/>
      <c r="I19" s="553"/>
      <c r="J19" s="553"/>
      <c r="K19" s="553"/>
      <c r="L19" s="553"/>
      <c r="M19" s="553"/>
      <c r="N19" s="553"/>
      <c r="O19" s="553"/>
      <c r="P19" s="553"/>
      <c r="Q19" s="553"/>
      <c r="R19" s="553"/>
      <c r="S19" s="553"/>
      <c r="T19" s="553"/>
      <c r="U19" s="553"/>
    </row>
    <row r="20" spans="1:21" x14ac:dyDescent="0.2">
      <c r="A20" s="798"/>
      <c r="B20" s="798"/>
      <c r="C20" s="537" t="s">
        <v>4288</v>
      </c>
      <c r="D20" s="537" t="s">
        <v>4289</v>
      </c>
      <c r="E20" s="133"/>
      <c r="F20" s="133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</row>
    <row r="21" spans="1:21" x14ac:dyDescent="0.2">
      <c r="A21" s="799" t="s">
        <v>4261</v>
      </c>
      <c r="B21" s="799"/>
      <c r="C21" s="538">
        <f>'[1]Оъёмные показатели'!$E$11</f>
        <v>569</v>
      </c>
      <c r="D21" s="538">
        <f>'[1]Оъёмные показатели'!$E$6</f>
        <v>16054</v>
      </c>
      <c r="E21" s="399">
        <f>U17*12</f>
        <v>33507012</v>
      </c>
      <c r="F21" s="133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</row>
    <row r="22" spans="1:21" x14ac:dyDescent="0.2">
      <c r="A22" s="800" t="s">
        <v>4265</v>
      </c>
      <c r="B22" s="800"/>
      <c r="C22" s="538">
        <f>SUM(C21:C21)</f>
        <v>569</v>
      </c>
      <c r="D22" s="538">
        <f>SUM(D21:D21)</f>
        <v>16054</v>
      </c>
      <c r="E22" s="560">
        <f>SUM(E21:E21)</f>
        <v>33507012</v>
      </c>
      <c r="F22" s="554">
        <f>E22/D22</f>
        <v>2087.1441385324529</v>
      </c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</row>
  </sheetData>
  <mergeCells count="5">
    <mergeCell ref="A19:B20"/>
    <mergeCell ref="A21:B21"/>
    <mergeCell ref="A22:B22"/>
    <mergeCell ref="Q1:S1"/>
    <mergeCell ref="Q2:S2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H33"/>
  <sheetViews>
    <sheetView workbookViewId="0">
      <selection activeCell="A21" sqref="A21:F21"/>
    </sheetView>
  </sheetViews>
  <sheetFormatPr defaultRowHeight="12.75" x14ac:dyDescent="0.2"/>
  <cols>
    <col min="1" max="1" width="3.7109375" customWidth="1"/>
    <col min="2" max="2" width="39.5703125" customWidth="1"/>
    <col min="3" max="3" width="17.7109375" customWidth="1"/>
    <col min="4" max="4" width="12.7109375" customWidth="1"/>
    <col min="5" max="5" width="9.85546875" customWidth="1"/>
    <col min="6" max="6" width="12" customWidth="1"/>
    <col min="7" max="7" width="22" customWidth="1"/>
    <col min="9" max="9" width="12.5703125" customWidth="1"/>
  </cols>
  <sheetData>
    <row r="1" spans="1:8" s="24" customFormat="1" ht="15" x14ac:dyDescent="0.2">
      <c r="E1" s="801" t="s">
        <v>4699</v>
      </c>
      <c r="F1" s="801"/>
      <c r="G1" s="801"/>
    </row>
    <row r="2" spans="1:8" s="24" customFormat="1" ht="15" x14ac:dyDescent="0.2">
      <c r="E2" s="801" t="s">
        <v>4586</v>
      </c>
      <c r="F2" s="801"/>
      <c r="G2" s="801"/>
      <c r="H2" s="801"/>
    </row>
    <row r="3" spans="1:8" s="24" customFormat="1" ht="15" x14ac:dyDescent="0.2"/>
    <row r="4" spans="1:8" s="24" customFormat="1" ht="15" x14ac:dyDescent="0.2"/>
    <row r="5" spans="1:8" s="24" customFormat="1" ht="15" x14ac:dyDescent="0.2"/>
    <row r="6" spans="1:8" ht="15.75" x14ac:dyDescent="0.25">
      <c r="A6" s="10"/>
      <c r="B6" s="10"/>
    </row>
    <row r="7" spans="1:8" ht="48" customHeight="1" x14ac:dyDescent="0.2">
      <c r="A7" s="11"/>
      <c r="B7" s="823" t="s">
        <v>4379</v>
      </c>
      <c r="C7" s="823"/>
      <c r="D7" s="823"/>
      <c r="E7" s="823"/>
      <c r="F7" s="823"/>
      <c r="G7" s="823"/>
    </row>
    <row r="8" spans="1:8" x14ac:dyDescent="0.2">
      <c r="A8" s="12"/>
      <c r="B8" s="12"/>
    </row>
    <row r="9" spans="1:8" s="53" customFormat="1" ht="102.75" customHeight="1" x14ac:dyDescent="0.2">
      <c r="A9" s="458" t="s">
        <v>122</v>
      </c>
      <c r="B9" s="458" t="s">
        <v>4017</v>
      </c>
      <c r="C9" s="455" t="s">
        <v>4321</v>
      </c>
      <c r="D9" s="291" t="s">
        <v>4377</v>
      </c>
      <c r="E9" s="291" t="s">
        <v>4580</v>
      </c>
      <c r="F9" s="291" t="s">
        <v>4582</v>
      </c>
      <c r="G9" s="454" t="s">
        <v>4320</v>
      </c>
    </row>
    <row r="10" spans="1:8" s="56" customFormat="1" ht="11.25" x14ac:dyDescent="0.2">
      <c r="A10" s="54">
        <v>1</v>
      </c>
      <c r="B10" s="55">
        <v>2</v>
      </c>
      <c r="C10" s="54">
        <v>3</v>
      </c>
      <c r="D10" s="55">
        <v>4</v>
      </c>
      <c r="E10" s="54">
        <v>5</v>
      </c>
      <c r="F10" s="55">
        <v>6</v>
      </c>
      <c r="G10" s="54">
        <v>7</v>
      </c>
    </row>
    <row r="11" spans="1:8" s="59" customFormat="1" ht="40.5" hidden="1" customHeight="1" x14ac:dyDescent="0.2">
      <c r="A11" s="57">
        <v>1</v>
      </c>
      <c r="B11" s="58" t="s">
        <v>4319</v>
      </c>
      <c r="C11" s="60"/>
      <c r="D11" s="245"/>
      <c r="E11" s="205"/>
      <c r="F11" s="205"/>
      <c r="G11" s="205"/>
    </row>
    <row r="12" spans="1:8" s="59" customFormat="1" ht="54.75" customHeight="1" x14ac:dyDescent="0.2">
      <c r="A12" s="57">
        <v>1</v>
      </c>
      <c r="B12" s="58" t="s">
        <v>4378</v>
      </c>
      <c r="C12" s="60">
        <v>1</v>
      </c>
      <c r="D12" s="583">
        <v>6367.65</v>
      </c>
      <c r="E12" s="205">
        <v>1</v>
      </c>
      <c r="F12" s="205">
        <f t="shared" ref="F12" si="0">D12*E12</f>
        <v>6367.65</v>
      </c>
      <c r="G12" s="205">
        <f t="shared" ref="G12" si="1">C12*F12</f>
        <v>6367.65</v>
      </c>
    </row>
    <row r="13" spans="1:8" s="59" customFormat="1" ht="27" hidden="1" customHeight="1" x14ac:dyDescent="0.2">
      <c r="A13" s="57"/>
      <c r="B13" s="58"/>
      <c r="C13" s="60"/>
      <c r="D13" s="245"/>
      <c r="E13" s="205"/>
      <c r="F13" s="205"/>
      <c r="G13" s="205"/>
    </row>
    <row r="14" spans="1:8" s="59" customFormat="1" ht="28.5" hidden="1" customHeight="1" x14ac:dyDescent="0.2">
      <c r="A14" s="57"/>
      <c r="B14" s="58"/>
      <c r="C14" s="60"/>
      <c r="D14" s="245"/>
      <c r="E14" s="205"/>
      <c r="F14" s="205"/>
      <c r="G14" s="205"/>
    </row>
    <row r="15" spans="1:8" s="59" customFormat="1" ht="24.6" hidden="1" customHeight="1" x14ac:dyDescent="0.2">
      <c r="A15" s="57"/>
      <c r="B15" s="58"/>
      <c r="C15" s="60"/>
      <c r="D15" s="245"/>
      <c r="E15" s="205"/>
      <c r="F15" s="205"/>
      <c r="G15" s="205"/>
    </row>
    <row r="16" spans="1:8" s="59" customFormat="1" ht="27.75" hidden="1" customHeight="1" x14ac:dyDescent="0.2">
      <c r="A16" s="57"/>
      <c r="B16" s="58"/>
      <c r="C16" s="60"/>
      <c r="D16" s="245"/>
      <c r="E16" s="205"/>
      <c r="F16" s="205"/>
      <c r="G16" s="205"/>
    </row>
    <row r="17" spans="1:7" s="59" customFormat="1" ht="26.25" hidden="1" customHeight="1" x14ac:dyDescent="0.2">
      <c r="A17" s="57"/>
      <c r="B17" s="58"/>
      <c r="C17" s="60"/>
      <c r="D17" s="245"/>
      <c r="E17" s="205"/>
      <c r="F17" s="205"/>
      <c r="G17" s="205"/>
    </row>
    <row r="18" spans="1:7" s="59" customFormat="1" ht="26.25" hidden="1" customHeight="1" x14ac:dyDescent="0.2">
      <c r="A18" s="57"/>
      <c r="B18" s="58"/>
      <c r="C18" s="60"/>
      <c r="D18" s="245"/>
      <c r="E18" s="205"/>
      <c r="F18" s="205"/>
      <c r="G18" s="205"/>
    </row>
    <row r="19" spans="1:7" s="59" customFormat="1" ht="26.25" hidden="1" customHeight="1" x14ac:dyDescent="0.2">
      <c r="A19" s="824"/>
      <c r="B19" s="825"/>
      <c r="C19" s="825"/>
      <c r="D19" s="825"/>
      <c r="E19" s="825"/>
      <c r="F19" s="826"/>
      <c r="G19" s="205"/>
    </row>
    <row r="20" spans="1:7" s="59" customFormat="1" ht="62.25" hidden="1" customHeight="1" x14ac:dyDescent="0.2">
      <c r="A20" s="57"/>
      <c r="B20" s="58"/>
      <c r="C20" s="60"/>
      <c r="D20" s="60"/>
      <c r="E20" s="205"/>
      <c r="F20" s="205"/>
      <c r="G20" s="205"/>
    </row>
    <row r="21" spans="1:7" ht="23.25" customHeight="1" x14ac:dyDescent="0.2">
      <c r="A21" s="830"/>
      <c r="B21" s="828"/>
      <c r="C21" s="828"/>
      <c r="D21" s="828"/>
      <c r="E21" s="828"/>
      <c r="F21" s="829"/>
      <c r="G21" s="205">
        <f>G12+G11</f>
        <v>6367.65</v>
      </c>
    </row>
    <row r="22" spans="1:7" x14ac:dyDescent="0.2">
      <c r="A22" s="38"/>
      <c r="B22" s="38"/>
      <c r="C22" s="38"/>
      <c r="D22" s="38"/>
      <c r="E22" s="38"/>
    </row>
    <row r="23" spans="1:7" ht="15" hidden="1" x14ac:dyDescent="0.2">
      <c r="B23" s="791" t="s">
        <v>3847</v>
      </c>
      <c r="C23" s="791"/>
      <c r="D23" s="791"/>
      <c r="E23" s="791"/>
      <c r="F23" s="791"/>
    </row>
    <row r="24" spans="1:7" s="23" customFormat="1" ht="17.25" customHeight="1" x14ac:dyDescent="0.2">
      <c r="A24" s="21"/>
    </row>
    <row r="25" spans="1:7" s="23" customFormat="1" ht="18" customHeight="1" x14ac:dyDescent="0.2">
      <c r="A25" s="42"/>
      <c r="B25" s="456"/>
    </row>
    <row r="26" spans="1:7" s="23" customFormat="1" ht="15" x14ac:dyDescent="0.2">
      <c r="A26" s="42"/>
      <c r="B26" s="453"/>
    </row>
    <row r="27" spans="1:7" s="23" customFormat="1" ht="15" x14ac:dyDescent="0.2">
      <c r="A27" s="42"/>
      <c r="B27" s="453"/>
    </row>
    <row r="28" spans="1:7" s="23" customFormat="1" ht="15" x14ac:dyDescent="0.2">
      <c r="A28" s="453"/>
    </row>
    <row r="29" spans="1:7" s="23" customFormat="1" ht="15" x14ac:dyDescent="0.2">
      <c r="A29" s="792"/>
      <c r="B29" s="793"/>
    </row>
    <row r="30" spans="1:7" s="23" customFormat="1" ht="15" customHeight="1" x14ac:dyDescent="0.2">
      <c r="A30" s="788"/>
      <c r="B30" s="788"/>
    </row>
    <row r="31" spans="1:7" s="23" customFormat="1" ht="15" x14ac:dyDescent="0.2">
      <c r="A31" s="788"/>
      <c r="B31" s="788"/>
    </row>
    <row r="32" spans="1:7" s="23" customFormat="1" ht="15" x14ac:dyDescent="0.2">
      <c r="A32" s="788"/>
      <c r="B32" s="788"/>
    </row>
    <row r="33" spans="1:2" s="23" customFormat="1" ht="15" x14ac:dyDescent="0.2">
      <c r="A33" s="453"/>
      <c r="B33" s="453"/>
    </row>
  </sheetData>
  <mergeCells count="10">
    <mergeCell ref="A29:B29"/>
    <mergeCell ref="A30:B30"/>
    <mergeCell ref="A31:B31"/>
    <mergeCell ref="A32:B32"/>
    <mergeCell ref="E1:G1"/>
    <mergeCell ref="B7:G7"/>
    <mergeCell ref="A19:F19"/>
    <mergeCell ref="A21:F21"/>
    <mergeCell ref="B23:F23"/>
    <mergeCell ref="E2:H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20"/>
  <sheetViews>
    <sheetView workbookViewId="0">
      <selection activeCell="G11" sqref="G11"/>
    </sheetView>
  </sheetViews>
  <sheetFormatPr defaultRowHeight="12.75" x14ac:dyDescent="0.2"/>
  <cols>
    <col min="1" max="1" width="3.7109375" customWidth="1"/>
    <col min="2" max="2" width="25.140625" bestFit="1" customWidth="1"/>
    <col min="3" max="3" width="11" bestFit="1" customWidth="1"/>
    <col min="4" max="4" width="10.85546875" bestFit="1" customWidth="1"/>
    <col min="5" max="5" width="11.140625" bestFit="1" customWidth="1"/>
    <col min="6" max="6" width="7.140625" bestFit="1" customWidth="1"/>
    <col min="7" max="7" width="12" customWidth="1"/>
    <col min="8" max="8" width="22" customWidth="1"/>
    <col min="10" max="10" width="11.5703125" customWidth="1"/>
  </cols>
  <sheetData>
    <row r="1" spans="1:9" s="24" customFormat="1" ht="15" x14ac:dyDescent="0.2">
      <c r="F1" s="801" t="s">
        <v>4036</v>
      </c>
      <c r="G1" s="801"/>
      <c r="H1" s="801"/>
      <c r="I1" s="295"/>
    </row>
    <row r="2" spans="1:9" s="24" customFormat="1" ht="15" x14ac:dyDescent="0.2">
      <c r="F2" s="801" t="s">
        <v>68</v>
      </c>
      <c r="G2" s="801"/>
      <c r="H2" s="801"/>
      <c r="I2" s="295"/>
    </row>
    <row r="3" spans="1:9" s="24" customFormat="1" ht="15" x14ac:dyDescent="0.2"/>
    <row r="4" spans="1:9" s="24" customFormat="1" ht="15" x14ac:dyDescent="0.2"/>
    <row r="5" spans="1:9" s="24" customFormat="1" ht="15" x14ac:dyDescent="0.2"/>
    <row r="6" spans="1:9" ht="15.75" x14ac:dyDescent="0.25">
      <c r="A6" s="10"/>
      <c r="B6" s="10"/>
      <c r="C6" s="10"/>
    </row>
    <row r="7" spans="1:9" ht="35.25" customHeight="1" x14ac:dyDescent="0.2">
      <c r="A7" s="11"/>
      <c r="B7" s="823" t="s">
        <v>4158</v>
      </c>
      <c r="C7" s="823"/>
      <c r="D7" s="823"/>
      <c r="E7" s="823"/>
      <c r="F7" s="823"/>
      <c r="G7" s="823"/>
      <c r="H7" s="823"/>
    </row>
    <row r="8" spans="1:9" x14ac:dyDescent="0.2">
      <c r="A8" s="12"/>
      <c r="B8" s="12"/>
      <c r="C8" s="12"/>
    </row>
    <row r="9" spans="1:9" s="53" customFormat="1" ht="31.15" customHeight="1" x14ac:dyDescent="0.2">
      <c r="A9" s="302" t="s">
        <v>4105</v>
      </c>
      <c r="B9" s="302" t="s">
        <v>4157</v>
      </c>
      <c r="C9" s="302" t="s">
        <v>4035</v>
      </c>
      <c r="D9" s="303" t="s">
        <v>4139</v>
      </c>
      <c r="E9" s="291" t="s">
        <v>4197</v>
      </c>
      <c r="F9" s="291" t="s">
        <v>4198</v>
      </c>
      <c r="G9" s="291" t="s">
        <v>4199</v>
      </c>
      <c r="H9" s="304" t="s">
        <v>4015</v>
      </c>
    </row>
    <row r="10" spans="1:9" s="56" customFormat="1" ht="11.25" x14ac:dyDescent="0.2">
      <c r="A10" s="54">
        <v>1</v>
      </c>
      <c r="B10" s="54">
        <v>2</v>
      </c>
      <c r="C10" s="54">
        <v>3</v>
      </c>
      <c r="D10" s="54">
        <v>4</v>
      </c>
      <c r="E10" s="54">
        <v>5</v>
      </c>
      <c r="F10" s="54">
        <v>6</v>
      </c>
      <c r="G10" s="54">
        <v>7</v>
      </c>
      <c r="H10" s="54">
        <v>8</v>
      </c>
    </row>
    <row r="11" spans="1:9" s="59" customFormat="1" ht="43.5" customHeight="1" x14ac:dyDescent="0.2">
      <c r="A11" s="60">
        <v>1</v>
      </c>
      <c r="B11" s="302" t="s">
        <v>4034</v>
      </c>
      <c r="C11" s="302">
        <f>24*365</f>
        <v>8760</v>
      </c>
      <c r="D11" s="60">
        <v>1</v>
      </c>
      <c r="E11" s="229">
        <v>115</v>
      </c>
      <c r="F11" s="229">
        <f>G11/E11</f>
        <v>1.1304347826086956</v>
      </c>
      <c r="G11" s="229">
        <v>130</v>
      </c>
      <c r="H11" s="229">
        <f>C11*D11*G11</f>
        <v>1138800</v>
      </c>
    </row>
    <row r="12" spans="1:9" x14ac:dyDescent="0.2">
      <c r="A12" s="38"/>
      <c r="B12" s="38"/>
      <c r="C12" s="38"/>
      <c r="D12" s="38"/>
      <c r="E12" s="38"/>
      <c r="F12" s="38"/>
    </row>
    <row r="13" spans="1:9" ht="15" hidden="1" x14ac:dyDescent="0.2">
      <c r="B13" s="791" t="s">
        <v>3847</v>
      </c>
      <c r="C13" s="791"/>
      <c r="D13" s="791"/>
      <c r="E13" s="791"/>
      <c r="F13" s="791"/>
      <c r="G13" s="791"/>
    </row>
    <row r="14" spans="1:9" s="23" customFormat="1" ht="17.25" customHeight="1" x14ac:dyDescent="0.2">
      <c r="A14" s="21"/>
    </row>
    <row r="15" spans="1:9" s="23" customFormat="1" ht="18" customHeight="1" x14ac:dyDescent="0.2">
      <c r="A15" s="42"/>
      <c r="B15" s="25"/>
      <c r="C15" s="25"/>
    </row>
    <row r="16" spans="1:9" s="23" customFormat="1" ht="15" x14ac:dyDescent="0.2">
      <c r="A16" s="42"/>
      <c r="B16" s="191"/>
      <c r="C16" s="191"/>
    </row>
    <row r="17" spans="1:3" s="23" customFormat="1" ht="15" customHeight="1" x14ac:dyDescent="0.2">
      <c r="A17" s="788"/>
      <c r="B17" s="788"/>
      <c r="C17" s="191"/>
    </row>
    <row r="18" spans="1:3" s="23" customFormat="1" ht="15" x14ac:dyDescent="0.2">
      <c r="A18" s="788"/>
      <c r="B18" s="788"/>
      <c r="C18" s="191"/>
    </row>
    <row r="19" spans="1:3" s="23" customFormat="1" ht="15" x14ac:dyDescent="0.2">
      <c r="A19" s="788"/>
      <c r="B19" s="788"/>
      <c r="C19" s="191"/>
    </row>
    <row r="20" spans="1:3" s="23" customFormat="1" ht="15" x14ac:dyDescent="0.2">
      <c r="A20" s="191"/>
      <c r="B20" s="191"/>
      <c r="C20" s="191"/>
    </row>
  </sheetData>
  <mergeCells count="7">
    <mergeCell ref="F1:H1"/>
    <mergeCell ref="F2:H2"/>
    <mergeCell ref="A19:B19"/>
    <mergeCell ref="B7:H7"/>
    <mergeCell ref="B13:G13"/>
    <mergeCell ref="A17:B17"/>
    <mergeCell ref="A18:B18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33"/>
  <sheetViews>
    <sheetView tabSelected="1" workbookViewId="0">
      <selection activeCell="C15" sqref="C15"/>
    </sheetView>
  </sheetViews>
  <sheetFormatPr defaultRowHeight="12.75" x14ac:dyDescent="0.2"/>
  <cols>
    <col min="1" max="1" width="3.7109375" customWidth="1"/>
    <col min="2" max="2" width="39.5703125" customWidth="1"/>
    <col min="3" max="3" width="17.7109375" customWidth="1"/>
    <col min="4" max="4" width="12.7109375" customWidth="1"/>
    <col min="5" max="5" width="9.85546875" customWidth="1"/>
    <col min="6" max="6" width="12" customWidth="1"/>
    <col min="7" max="7" width="22" customWidth="1"/>
    <col min="9" max="9" width="12.5703125" customWidth="1"/>
  </cols>
  <sheetData>
    <row r="1" spans="1:8" s="24" customFormat="1" ht="15" x14ac:dyDescent="0.2">
      <c r="E1" s="801" t="s">
        <v>4596</v>
      </c>
      <c r="F1" s="801"/>
      <c r="G1" s="801"/>
    </row>
    <row r="2" spans="1:8" s="24" customFormat="1" ht="15" x14ac:dyDescent="0.2">
      <c r="E2" s="801" t="s">
        <v>4586</v>
      </c>
      <c r="F2" s="801"/>
      <c r="G2" s="801"/>
      <c r="H2" s="801"/>
    </row>
    <row r="3" spans="1:8" s="24" customFormat="1" ht="15" x14ac:dyDescent="0.2"/>
    <row r="4" spans="1:8" s="24" customFormat="1" ht="15" x14ac:dyDescent="0.2"/>
    <row r="5" spans="1:8" s="24" customFormat="1" ht="15" x14ac:dyDescent="0.2"/>
    <row r="6" spans="1:8" ht="15.75" x14ac:dyDescent="0.25">
      <c r="A6" s="10"/>
      <c r="B6" s="10"/>
    </row>
    <row r="7" spans="1:8" ht="48" customHeight="1" x14ac:dyDescent="0.2">
      <c r="A7" s="11"/>
      <c r="B7" s="823" t="s">
        <v>4701</v>
      </c>
      <c r="C7" s="823"/>
      <c r="D7" s="823"/>
      <c r="E7" s="823"/>
      <c r="F7" s="823"/>
      <c r="G7" s="823"/>
    </row>
    <row r="8" spans="1:8" x14ac:dyDescent="0.2">
      <c r="A8" s="12"/>
      <c r="B8" s="12"/>
    </row>
    <row r="9" spans="1:8" s="53" customFormat="1" ht="102.75" customHeight="1" x14ac:dyDescent="0.2">
      <c r="A9" s="781" t="s">
        <v>122</v>
      </c>
      <c r="B9" s="784" t="s">
        <v>4708</v>
      </c>
      <c r="C9" s="783" t="s">
        <v>4706</v>
      </c>
      <c r="D9" s="291" t="s">
        <v>4377</v>
      </c>
      <c r="E9" s="291" t="s">
        <v>4580</v>
      </c>
      <c r="F9" s="291" t="s">
        <v>4582</v>
      </c>
      <c r="G9" s="780" t="s">
        <v>4707</v>
      </c>
    </row>
    <row r="10" spans="1:8" s="56" customFormat="1" ht="11.25" x14ac:dyDescent="0.2">
      <c r="A10" s="54">
        <v>1</v>
      </c>
      <c r="B10" s="55">
        <v>2</v>
      </c>
      <c r="C10" s="54">
        <v>3</v>
      </c>
      <c r="D10" s="55">
        <v>4</v>
      </c>
      <c r="E10" s="54">
        <v>5</v>
      </c>
      <c r="F10" s="55">
        <v>6</v>
      </c>
      <c r="G10" s="54">
        <v>7</v>
      </c>
    </row>
    <row r="11" spans="1:8" s="59" customFormat="1" ht="40.5" hidden="1" customHeight="1" x14ac:dyDescent="0.2">
      <c r="A11" s="57">
        <v>1</v>
      </c>
      <c r="B11" s="58" t="s">
        <v>4319</v>
      </c>
      <c r="C11" s="60"/>
      <c r="D11" s="245"/>
      <c r="E11" s="205"/>
      <c r="F11" s="205"/>
      <c r="G11" s="205"/>
    </row>
    <row r="12" spans="1:8" s="59" customFormat="1" ht="54.75" customHeight="1" x14ac:dyDescent="0.2">
      <c r="A12" s="57">
        <v>1</v>
      </c>
      <c r="B12" s="58" t="s">
        <v>4703</v>
      </c>
      <c r="C12" s="60">
        <v>1</v>
      </c>
      <c r="D12" s="583">
        <v>250000</v>
      </c>
      <c r="E12" s="205">
        <v>1</v>
      </c>
      <c r="F12" s="205">
        <f t="shared" ref="F12:F15" si="0">D12*E12</f>
        <v>250000</v>
      </c>
      <c r="G12" s="205">
        <f t="shared" ref="G12:G15" si="1">C12*F12</f>
        <v>250000</v>
      </c>
    </row>
    <row r="13" spans="1:8" s="59" customFormat="1" ht="45.75" customHeight="1" x14ac:dyDescent="0.2">
      <c r="A13" s="57">
        <v>2</v>
      </c>
      <c r="B13" s="58" t="s">
        <v>4704</v>
      </c>
      <c r="C13" s="60">
        <v>1</v>
      </c>
      <c r="D13" s="245">
        <v>50000</v>
      </c>
      <c r="E13" s="205">
        <v>1</v>
      </c>
      <c r="F13" s="205">
        <f t="shared" si="0"/>
        <v>50000</v>
      </c>
      <c r="G13" s="245">
        <f t="shared" si="1"/>
        <v>50000</v>
      </c>
    </row>
    <row r="14" spans="1:8" s="59" customFormat="1" ht="28.5" customHeight="1" x14ac:dyDescent="0.2">
      <c r="A14" s="57">
        <v>3</v>
      </c>
      <c r="B14" s="58" t="s">
        <v>4702</v>
      </c>
      <c r="C14" s="60">
        <v>1</v>
      </c>
      <c r="D14" s="245">
        <v>40000</v>
      </c>
      <c r="E14" s="205">
        <v>1</v>
      </c>
      <c r="F14" s="205">
        <f t="shared" si="0"/>
        <v>40000</v>
      </c>
      <c r="G14" s="205">
        <f t="shared" si="1"/>
        <v>40000</v>
      </c>
    </row>
    <row r="15" spans="1:8" s="59" customFormat="1" ht="30.75" customHeight="1" x14ac:dyDescent="0.2">
      <c r="A15" s="57">
        <v>4</v>
      </c>
      <c r="B15" s="58" t="s">
        <v>4705</v>
      </c>
      <c r="C15" s="60">
        <v>1</v>
      </c>
      <c r="D15" s="245">
        <v>20000</v>
      </c>
      <c r="E15" s="205">
        <v>1</v>
      </c>
      <c r="F15" s="205">
        <f t="shared" si="0"/>
        <v>20000</v>
      </c>
      <c r="G15" s="205">
        <f t="shared" si="1"/>
        <v>20000</v>
      </c>
    </row>
    <row r="16" spans="1:8" s="59" customFormat="1" ht="27.75" hidden="1" customHeight="1" x14ac:dyDescent="0.2">
      <c r="A16" s="57"/>
      <c r="B16" s="58"/>
      <c r="C16" s="60"/>
      <c r="D16" s="245"/>
      <c r="E16" s="205"/>
      <c r="F16" s="205"/>
      <c r="G16" s="205"/>
    </row>
    <row r="17" spans="1:7" s="59" customFormat="1" ht="26.25" hidden="1" customHeight="1" x14ac:dyDescent="0.2">
      <c r="A17" s="57"/>
      <c r="B17" s="58"/>
      <c r="C17" s="60"/>
      <c r="D17" s="245"/>
      <c r="E17" s="205"/>
      <c r="F17" s="205"/>
      <c r="G17" s="205"/>
    </row>
    <row r="18" spans="1:7" s="59" customFormat="1" ht="26.25" hidden="1" customHeight="1" x14ac:dyDescent="0.2">
      <c r="A18" s="57"/>
      <c r="B18" s="58"/>
      <c r="C18" s="60"/>
      <c r="D18" s="245"/>
      <c r="E18" s="205"/>
      <c r="F18" s="205"/>
      <c r="G18" s="205"/>
    </row>
    <row r="19" spans="1:7" s="59" customFormat="1" ht="26.25" hidden="1" customHeight="1" x14ac:dyDescent="0.2">
      <c r="A19" s="824"/>
      <c r="B19" s="825"/>
      <c r="C19" s="825"/>
      <c r="D19" s="825"/>
      <c r="E19" s="825"/>
      <c r="F19" s="826"/>
      <c r="G19" s="205"/>
    </row>
    <row r="20" spans="1:7" s="59" customFormat="1" ht="62.25" hidden="1" customHeight="1" x14ac:dyDescent="0.2">
      <c r="A20" s="57"/>
      <c r="B20" s="58"/>
      <c r="C20" s="60"/>
      <c r="D20" s="60"/>
      <c r="E20" s="205"/>
      <c r="F20" s="205"/>
      <c r="G20" s="205"/>
    </row>
    <row r="21" spans="1:7" ht="23.25" customHeight="1" x14ac:dyDescent="0.2">
      <c r="A21" s="830"/>
      <c r="B21" s="828"/>
      <c r="C21" s="828"/>
      <c r="D21" s="828"/>
      <c r="E21" s="828"/>
      <c r="F21" s="829"/>
      <c r="G21" s="205">
        <f>G12+G13+G14+G15</f>
        <v>360000</v>
      </c>
    </row>
    <row r="22" spans="1:7" x14ac:dyDescent="0.2">
      <c r="A22" s="38"/>
      <c r="B22" s="38"/>
      <c r="C22" s="38"/>
      <c r="D22" s="38"/>
      <c r="E22" s="38"/>
    </row>
    <row r="23" spans="1:7" ht="15" hidden="1" x14ac:dyDescent="0.2">
      <c r="B23" s="791" t="s">
        <v>3847</v>
      </c>
      <c r="C23" s="791"/>
      <c r="D23" s="791"/>
      <c r="E23" s="791"/>
      <c r="F23" s="791"/>
    </row>
    <row r="24" spans="1:7" s="23" customFormat="1" ht="17.25" customHeight="1" x14ac:dyDescent="0.2">
      <c r="A24" s="21"/>
    </row>
    <row r="25" spans="1:7" s="23" customFormat="1" ht="18" customHeight="1" x14ac:dyDescent="0.2">
      <c r="A25" s="42"/>
      <c r="B25" s="590"/>
    </row>
    <row r="26" spans="1:7" s="23" customFormat="1" ht="15" x14ac:dyDescent="0.2">
      <c r="A26" s="42"/>
      <c r="B26" s="779"/>
    </row>
    <row r="27" spans="1:7" s="23" customFormat="1" ht="15" x14ac:dyDescent="0.2">
      <c r="A27" s="42"/>
      <c r="B27" s="779"/>
    </row>
    <row r="28" spans="1:7" s="23" customFormat="1" ht="15" x14ac:dyDescent="0.2">
      <c r="A28" s="779"/>
    </row>
    <row r="29" spans="1:7" s="23" customFormat="1" ht="15" x14ac:dyDescent="0.2">
      <c r="A29" s="792"/>
      <c r="B29" s="793"/>
    </row>
    <row r="30" spans="1:7" s="23" customFormat="1" ht="15" customHeight="1" x14ac:dyDescent="0.2">
      <c r="A30" s="788"/>
      <c r="B30" s="788"/>
    </row>
    <row r="31" spans="1:7" s="23" customFormat="1" ht="15" x14ac:dyDescent="0.2">
      <c r="A31" s="788"/>
      <c r="B31" s="788"/>
    </row>
    <row r="32" spans="1:7" s="23" customFormat="1" ht="15" x14ac:dyDescent="0.2">
      <c r="A32" s="788"/>
      <c r="B32" s="788"/>
    </row>
    <row r="33" spans="1:2" s="23" customFormat="1" ht="15" x14ac:dyDescent="0.2">
      <c r="A33" s="779"/>
      <c r="B33" s="779"/>
    </row>
  </sheetData>
  <mergeCells count="10">
    <mergeCell ref="A29:B29"/>
    <mergeCell ref="A30:B30"/>
    <mergeCell ref="A31:B31"/>
    <mergeCell ref="A32:B32"/>
    <mergeCell ref="E1:G1"/>
    <mergeCell ref="E2:H2"/>
    <mergeCell ref="B7:G7"/>
    <mergeCell ref="A19:F19"/>
    <mergeCell ref="A21:F21"/>
    <mergeCell ref="B23:F2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20"/>
  <sheetViews>
    <sheetView workbookViewId="0">
      <selection activeCell="G1" sqref="G1:J1"/>
    </sheetView>
  </sheetViews>
  <sheetFormatPr defaultRowHeight="12.75" x14ac:dyDescent="0.2"/>
  <cols>
    <col min="1" max="1" width="3.7109375" customWidth="1"/>
    <col min="2" max="2" width="25.140625" bestFit="1" customWidth="1"/>
    <col min="3" max="3" width="11" bestFit="1" customWidth="1"/>
    <col min="4" max="4" width="11" customWidth="1"/>
    <col min="5" max="5" width="10.85546875" bestFit="1" customWidth="1"/>
    <col min="6" max="6" width="11.140625" bestFit="1" customWidth="1"/>
    <col min="7" max="7" width="7.140625" bestFit="1" customWidth="1"/>
    <col min="8" max="9" width="12" customWidth="1"/>
    <col min="10" max="10" width="22" customWidth="1"/>
    <col min="12" max="12" width="11.5703125" customWidth="1"/>
    <col min="16" max="16" width="27" customWidth="1"/>
  </cols>
  <sheetData>
    <row r="1" spans="1:16" s="24" customFormat="1" ht="15" x14ac:dyDescent="0.2">
      <c r="G1" s="801" t="s">
        <v>4714</v>
      </c>
      <c r="H1" s="801"/>
      <c r="I1" s="801"/>
      <c r="J1" s="801"/>
      <c r="K1" s="460"/>
    </row>
    <row r="2" spans="1:16" s="24" customFormat="1" ht="15" x14ac:dyDescent="0.2">
      <c r="G2" s="801" t="s">
        <v>4586</v>
      </c>
      <c r="H2" s="801"/>
      <c r="I2" s="801"/>
      <c r="J2" s="801"/>
      <c r="K2" s="801"/>
    </row>
    <row r="3" spans="1:16" s="24" customFormat="1" ht="15" x14ac:dyDescent="0.2"/>
    <row r="4" spans="1:16" s="24" customFormat="1" ht="15" x14ac:dyDescent="0.2"/>
    <row r="5" spans="1:16" s="24" customFormat="1" ht="15" x14ac:dyDescent="0.2"/>
    <row r="6" spans="1:16" ht="15.75" x14ac:dyDescent="0.25">
      <c r="A6" s="10"/>
      <c r="B6" s="10"/>
      <c r="C6" s="10"/>
      <c r="D6" s="10"/>
    </row>
    <row r="7" spans="1:16" ht="35.25" customHeight="1" x14ac:dyDescent="0.2">
      <c r="A7" s="11"/>
      <c r="B7" s="823" t="s">
        <v>4158</v>
      </c>
      <c r="C7" s="823"/>
      <c r="D7" s="823"/>
      <c r="E7" s="823"/>
      <c r="F7" s="823"/>
      <c r="G7" s="823"/>
      <c r="H7" s="823"/>
      <c r="I7" s="823"/>
      <c r="J7" s="823"/>
    </row>
    <row r="8" spans="1:16" x14ac:dyDescent="0.2">
      <c r="A8" s="12"/>
      <c r="B8" s="12"/>
      <c r="C8" s="12"/>
      <c r="D8" s="12"/>
    </row>
    <row r="9" spans="1:16" s="53" customFormat="1" ht="67.5" customHeight="1" x14ac:dyDescent="0.2">
      <c r="A9" s="463" t="s">
        <v>4105</v>
      </c>
      <c r="B9" s="463" t="s">
        <v>4157</v>
      </c>
      <c r="C9" s="760" t="s">
        <v>4666</v>
      </c>
      <c r="D9" s="760" t="s">
        <v>4667</v>
      </c>
      <c r="E9" s="462" t="s">
        <v>4139</v>
      </c>
      <c r="F9" s="291" t="s">
        <v>4369</v>
      </c>
      <c r="G9" s="291" t="s">
        <v>4580</v>
      </c>
      <c r="H9" s="291" t="s">
        <v>4668</v>
      </c>
      <c r="I9" s="291" t="s">
        <v>4669</v>
      </c>
      <c r="J9" s="461" t="s">
        <v>4015</v>
      </c>
    </row>
    <row r="10" spans="1:16" s="56" customFormat="1" ht="11.25" x14ac:dyDescent="0.2">
      <c r="A10" s="54">
        <v>1</v>
      </c>
      <c r="B10" s="54">
        <v>2</v>
      </c>
      <c r="C10" s="54">
        <v>3</v>
      </c>
      <c r="D10" s="54"/>
      <c r="E10" s="54">
        <v>4</v>
      </c>
      <c r="F10" s="54">
        <v>5</v>
      </c>
      <c r="G10" s="54">
        <v>6</v>
      </c>
      <c r="H10" s="54">
        <v>7</v>
      </c>
      <c r="I10" s="54"/>
      <c r="J10" s="54">
        <v>8</v>
      </c>
    </row>
    <row r="11" spans="1:16" s="59" customFormat="1" ht="90.75" customHeight="1" x14ac:dyDescent="0.2">
      <c r="A11" s="60">
        <v>1</v>
      </c>
      <c r="B11" s="765" t="s">
        <v>4671</v>
      </c>
      <c r="C11" s="463">
        <v>8760</v>
      </c>
      <c r="D11" s="760">
        <v>0</v>
      </c>
      <c r="E11" s="60">
        <v>1</v>
      </c>
      <c r="F11" s="602">
        <f>145</f>
        <v>145</v>
      </c>
      <c r="G11" s="229">
        <f>H11/F11</f>
        <v>1.9310344827586208</v>
      </c>
      <c r="H11" s="229">
        <v>280</v>
      </c>
      <c r="I11" s="229">
        <v>0</v>
      </c>
      <c r="J11" s="229">
        <f>C11*E11*H11</f>
        <v>2452800</v>
      </c>
      <c r="P11" s="298"/>
    </row>
    <row r="12" spans="1:16" ht="90" customHeight="1" x14ac:dyDescent="0.2">
      <c r="A12" s="60">
        <v>2</v>
      </c>
      <c r="B12" s="764" t="s">
        <v>4672</v>
      </c>
      <c r="C12" s="760">
        <f>8760</f>
        <v>8760</v>
      </c>
      <c r="D12" s="760">
        <v>1793</v>
      </c>
      <c r="E12" s="60">
        <v>1</v>
      </c>
      <c r="F12" s="602">
        <f>145</f>
        <v>145</v>
      </c>
      <c r="G12" s="229">
        <f>H12/F12</f>
        <v>1.9310344827586208</v>
      </c>
      <c r="H12" s="229">
        <v>280</v>
      </c>
      <c r="I12" s="229">
        <v>360</v>
      </c>
      <c r="J12" s="229">
        <f>(C12*E12*H12)+(D12*E12*I12)</f>
        <v>3098280</v>
      </c>
      <c r="P12" s="298"/>
    </row>
    <row r="13" spans="1:16" ht="15" hidden="1" x14ac:dyDescent="0.2">
      <c r="B13" s="791" t="s">
        <v>3847</v>
      </c>
      <c r="C13" s="791"/>
      <c r="D13" s="791"/>
      <c r="E13" s="791"/>
      <c r="F13" s="791"/>
      <c r="G13" s="791"/>
      <c r="H13" s="791"/>
      <c r="I13" s="759"/>
    </row>
    <row r="14" spans="1:16" s="23" customFormat="1" ht="68.25" customHeight="1" x14ac:dyDescent="0.2">
      <c r="A14" s="60">
        <v>3</v>
      </c>
      <c r="B14" s="764" t="s">
        <v>4673</v>
      </c>
      <c r="C14" s="760">
        <v>8760</v>
      </c>
      <c r="D14" s="760">
        <v>0</v>
      </c>
      <c r="E14" s="60">
        <v>1</v>
      </c>
      <c r="F14" s="602">
        <f>145</f>
        <v>145</v>
      </c>
      <c r="G14" s="229">
        <f>H14/F14</f>
        <v>1.9310344827586208</v>
      </c>
      <c r="H14" s="229">
        <v>280</v>
      </c>
      <c r="I14" s="229">
        <v>0</v>
      </c>
      <c r="J14" s="229">
        <f>C14*E14*H14</f>
        <v>2452800</v>
      </c>
    </row>
    <row r="15" spans="1:16" s="23" customFormat="1" ht="18" customHeight="1" x14ac:dyDescent="0.2">
      <c r="A15" s="42"/>
      <c r="B15" s="464"/>
      <c r="C15" s="464"/>
      <c r="D15" s="590"/>
    </row>
    <row r="16" spans="1:16" s="23" customFormat="1" ht="15" x14ac:dyDescent="0.2">
      <c r="A16" s="42"/>
      <c r="B16" s="459"/>
      <c r="C16" s="459"/>
      <c r="D16" s="758"/>
    </row>
    <row r="17" spans="1:4" s="23" customFormat="1" ht="15" customHeight="1" x14ac:dyDescent="0.2">
      <c r="A17" s="788"/>
      <c r="B17" s="788"/>
      <c r="C17" s="459"/>
      <c r="D17" s="758"/>
    </row>
    <row r="18" spans="1:4" s="23" customFormat="1" ht="15" x14ac:dyDescent="0.2">
      <c r="A18" s="788"/>
      <c r="B18" s="788"/>
      <c r="C18" s="459"/>
      <c r="D18" s="758"/>
    </row>
    <row r="19" spans="1:4" s="23" customFormat="1" ht="15" x14ac:dyDescent="0.2">
      <c r="A19" s="788"/>
      <c r="B19" s="788"/>
      <c r="C19" s="459"/>
      <c r="D19" s="758"/>
    </row>
    <row r="20" spans="1:4" s="23" customFormat="1" ht="15" x14ac:dyDescent="0.2">
      <c r="A20" s="459"/>
      <c r="B20" s="459"/>
      <c r="C20" s="459"/>
      <c r="D20" s="758"/>
    </row>
  </sheetData>
  <mergeCells count="7">
    <mergeCell ref="A19:B19"/>
    <mergeCell ref="G1:J1"/>
    <mergeCell ref="B13:H13"/>
    <mergeCell ref="A17:B17"/>
    <mergeCell ref="A18:B18"/>
    <mergeCell ref="G2:K2"/>
    <mergeCell ref="B7:J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45"/>
  <sheetViews>
    <sheetView workbookViewId="0">
      <selection activeCell="E1" sqref="E1:G1"/>
    </sheetView>
  </sheetViews>
  <sheetFormatPr defaultRowHeight="12.75" x14ac:dyDescent="0.2"/>
  <cols>
    <col min="1" max="1" width="3.7109375" customWidth="1"/>
    <col min="2" max="2" width="35.7109375" bestFit="1" customWidth="1"/>
    <col min="3" max="3" width="16.5703125" bestFit="1" customWidth="1"/>
    <col min="4" max="4" width="12.42578125" bestFit="1" customWidth="1"/>
    <col min="5" max="5" width="7.140625" bestFit="1" customWidth="1"/>
    <col min="6" max="6" width="11.140625" bestFit="1" customWidth="1"/>
    <col min="7" max="7" width="18.42578125" bestFit="1" customWidth="1"/>
    <col min="9" max="9" width="11.28515625" customWidth="1"/>
  </cols>
  <sheetData>
    <row r="1" spans="1:8" s="24" customFormat="1" ht="15" x14ac:dyDescent="0.2">
      <c r="E1" s="801" t="s">
        <v>4715</v>
      </c>
      <c r="F1" s="801"/>
      <c r="G1" s="801"/>
    </row>
    <row r="2" spans="1:8" s="24" customFormat="1" ht="15" x14ac:dyDescent="0.2">
      <c r="E2" s="801" t="s">
        <v>4586</v>
      </c>
      <c r="F2" s="801"/>
      <c r="G2" s="801"/>
      <c r="H2" s="801"/>
    </row>
    <row r="3" spans="1:8" s="24" customFormat="1" ht="15" hidden="1" x14ac:dyDescent="0.2"/>
    <row r="4" spans="1:8" s="24" customFormat="1" ht="15" hidden="1" x14ac:dyDescent="0.2"/>
    <row r="5" spans="1:8" s="24" customFormat="1" ht="15" hidden="1" x14ac:dyDescent="0.2"/>
    <row r="6" spans="1:8" ht="15.75" x14ac:dyDescent="0.25">
      <c r="A6" s="10"/>
      <c r="B6" s="10"/>
    </row>
    <row r="7" spans="1:8" ht="38.25" customHeight="1" x14ac:dyDescent="0.2">
      <c r="A7" s="11"/>
      <c r="B7" s="823" t="s">
        <v>3897</v>
      </c>
      <c r="C7" s="823"/>
      <c r="D7" s="823"/>
      <c r="E7" s="823"/>
      <c r="F7" s="823"/>
      <c r="G7" s="823"/>
    </row>
    <row r="8" spans="1:8" x14ac:dyDescent="0.2">
      <c r="A8" s="12"/>
      <c r="B8" s="12"/>
    </row>
    <row r="9" spans="1:8" s="53" customFormat="1" ht="31.15" customHeight="1" x14ac:dyDescent="0.2">
      <c r="A9" s="202" t="s">
        <v>4105</v>
      </c>
      <c r="B9" s="202" t="s">
        <v>4159</v>
      </c>
      <c r="C9" s="303" t="s">
        <v>3888</v>
      </c>
      <c r="D9" s="291" t="s">
        <v>4369</v>
      </c>
      <c r="E9" s="291" t="s">
        <v>4580</v>
      </c>
      <c r="F9" s="291" t="s">
        <v>4360</v>
      </c>
      <c r="G9" s="304" t="s">
        <v>3896</v>
      </c>
    </row>
    <row r="10" spans="1:8" s="56" customFormat="1" ht="11.25" x14ac:dyDescent="0.2">
      <c r="A10" s="54">
        <v>1</v>
      </c>
      <c r="B10" s="55">
        <v>2</v>
      </c>
      <c r="C10" s="54">
        <v>3</v>
      </c>
      <c r="D10" s="55">
        <v>4</v>
      </c>
      <c r="E10" s="54">
        <v>5</v>
      </c>
      <c r="F10" s="55">
        <v>6</v>
      </c>
      <c r="G10" s="54">
        <v>7</v>
      </c>
    </row>
    <row r="11" spans="1:8" s="56" customFormat="1" x14ac:dyDescent="0.2">
      <c r="A11" s="54">
        <v>1</v>
      </c>
      <c r="B11" s="302" t="s">
        <v>4143</v>
      </c>
      <c r="C11" s="60">
        <v>1</v>
      </c>
      <c r="D11" s="576">
        <v>200</v>
      </c>
      <c r="E11" s="166">
        <v>1</v>
      </c>
      <c r="F11" s="166">
        <f t="shared" ref="F11:F26" si="0">D11*E11</f>
        <v>200</v>
      </c>
      <c r="G11" s="166">
        <f>C11*F11</f>
        <v>200</v>
      </c>
    </row>
    <row r="12" spans="1:8" s="285" customFormat="1" ht="24.6" customHeight="1" x14ac:dyDescent="0.2">
      <c r="A12" s="54">
        <v>2</v>
      </c>
      <c r="B12" s="356" t="s">
        <v>3889</v>
      </c>
      <c r="C12" s="60">
        <v>1</v>
      </c>
      <c r="D12" s="576">
        <v>220</v>
      </c>
      <c r="E12" s="357">
        <v>1</v>
      </c>
      <c r="F12" s="357">
        <f t="shared" si="0"/>
        <v>220</v>
      </c>
      <c r="G12" s="357">
        <f>C12*F12</f>
        <v>220</v>
      </c>
    </row>
    <row r="13" spans="1:8" s="285" customFormat="1" ht="24.6" customHeight="1" x14ac:dyDescent="0.2">
      <c r="A13" s="54">
        <v>3</v>
      </c>
      <c r="B13" s="356" t="s">
        <v>3890</v>
      </c>
      <c r="C13" s="60">
        <v>1</v>
      </c>
      <c r="D13" s="576">
        <v>380</v>
      </c>
      <c r="E13" s="357">
        <v>1</v>
      </c>
      <c r="F13" s="357">
        <f t="shared" si="0"/>
        <v>380</v>
      </c>
      <c r="G13" s="357">
        <f t="shared" ref="G13:G28" si="1">C13*F13</f>
        <v>380</v>
      </c>
    </row>
    <row r="14" spans="1:8" s="285" customFormat="1" ht="24.6" customHeight="1" x14ac:dyDescent="0.2">
      <c r="A14" s="54">
        <v>4</v>
      </c>
      <c r="B14" s="356" t="s">
        <v>3891</v>
      </c>
      <c r="C14" s="60">
        <v>1</v>
      </c>
      <c r="D14" s="576">
        <v>380</v>
      </c>
      <c r="E14" s="357">
        <v>1</v>
      </c>
      <c r="F14" s="357">
        <f t="shared" si="0"/>
        <v>380</v>
      </c>
      <c r="G14" s="357">
        <f t="shared" si="1"/>
        <v>380</v>
      </c>
    </row>
    <row r="15" spans="1:8" s="285" customFormat="1" ht="24.6" customHeight="1" x14ac:dyDescent="0.2">
      <c r="A15" s="54">
        <v>5</v>
      </c>
      <c r="B15" s="356" t="s">
        <v>4144</v>
      </c>
      <c r="C15" s="60">
        <v>1</v>
      </c>
      <c r="D15" s="576">
        <v>120</v>
      </c>
      <c r="E15" s="357">
        <v>1</v>
      </c>
      <c r="F15" s="357">
        <f t="shared" si="0"/>
        <v>120</v>
      </c>
      <c r="G15" s="357">
        <f t="shared" si="1"/>
        <v>120</v>
      </c>
    </row>
    <row r="16" spans="1:8" s="285" customFormat="1" ht="24.6" customHeight="1" x14ac:dyDescent="0.2">
      <c r="A16" s="54">
        <v>6</v>
      </c>
      <c r="B16" s="356" t="s">
        <v>4145</v>
      </c>
      <c r="C16" s="60">
        <v>1</v>
      </c>
      <c r="D16" s="576">
        <v>150</v>
      </c>
      <c r="E16" s="357">
        <v>1</v>
      </c>
      <c r="F16" s="357">
        <f t="shared" si="0"/>
        <v>150</v>
      </c>
      <c r="G16" s="357">
        <f t="shared" si="1"/>
        <v>150</v>
      </c>
    </row>
    <row r="17" spans="1:7" s="285" customFormat="1" ht="24.6" customHeight="1" x14ac:dyDescent="0.2">
      <c r="A17" s="54">
        <v>7</v>
      </c>
      <c r="B17" s="356" t="s">
        <v>4147</v>
      </c>
      <c r="C17" s="60">
        <v>1</v>
      </c>
      <c r="D17" s="576">
        <v>100</v>
      </c>
      <c r="E17" s="357">
        <v>1</v>
      </c>
      <c r="F17" s="357">
        <f t="shared" si="0"/>
        <v>100</v>
      </c>
      <c r="G17" s="357">
        <f t="shared" si="1"/>
        <v>100</v>
      </c>
    </row>
    <row r="18" spans="1:7" s="285" customFormat="1" ht="30" customHeight="1" x14ac:dyDescent="0.2">
      <c r="A18" s="54">
        <v>8</v>
      </c>
      <c r="B18" s="356" t="s">
        <v>4148</v>
      </c>
      <c r="C18" s="60">
        <v>1</v>
      </c>
      <c r="D18" s="576">
        <v>140</v>
      </c>
      <c r="E18" s="357">
        <v>1</v>
      </c>
      <c r="F18" s="357">
        <f t="shared" si="0"/>
        <v>140</v>
      </c>
      <c r="G18" s="357">
        <f t="shared" si="1"/>
        <v>140</v>
      </c>
    </row>
    <row r="19" spans="1:7" s="285" customFormat="1" ht="24.6" customHeight="1" x14ac:dyDescent="0.2">
      <c r="A19" s="54">
        <v>9</v>
      </c>
      <c r="B19" s="356" t="s">
        <v>4149</v>
      </c>
      <c r="C19" s="60">
        <v>0.5</v>
      </c>
      <c r="D19" s="576">
        <v>160</v>
      </c>
      <c r="E19" s="357">
        <v>1</v>
      </c>
      <c r="F19" s="357">
        <f t="shared" si="0"/>
        <v>160</v>
      </c>
      <c r="G19" s="357">
        <f t="shared" si="1"/>
        <v>80</v>
      </c>
    </row>
    <row r="20" spans="1:7" s="285" customFormat="1" ht="24.6" customHeight="1" x14ac:dyDescent="0.2">
      <c r="A20" s="54">
        <v>10</v>
      </c>
      <c r="B20" s="356" t="s">
        <v>3892</v>
      </c>
      <c r="C20" s="60">
        <v>1</v>
      </c>
      <c r="D20" s="576">
        <v>130</v>
      </c>
      <c r="E20" s="357">
        <v>1</v>
      </c>
      <c r="F20" s="357">
        <f t="shared" si="0"/>
        <v>130</v>
      </c>
      <c r="G20" s="357">
        <f t="shared" si="1"/>
        <v>130</v>
      </c>
    </row>
    <row r="21" spans="1:7" s="285" customFormat="1" ht="24.6" customHeight="1" x14ac:dyDescent="0.2">
      <c r="A21" s="54">
        <v>11</v>
      </c>
      <c r="B21" s="356" t="s">
        <v>3893</v>
      </c>
      <c r="C21" s="60">
        <v>1</v>
      </c>
      <c r="D21" s="576">
        <v>80</v>
      </c>
      <c r="E21" s="357">
        <v>1</v>
      </c>
      <c r="F21" s="357">
        <f t="shared" si="0"/>
        <v>80</v>
      </c>
      <c r="G21" s="357">
        <f t="shared" si="1"/>
        <v>80</v>
      </c>
    </row>
    <row r="22" spans="1:7" s="285" customFormat="1" ht="24.6" customHeight="1" x14ac:dyDescent="0.2">
      <c r="A22" s="54">
        <v>12</v>
      </c>
      <c r="B22" s="356" t="s">
        <v>3894</v>
      </c>
      <c r="C22" s="60">
        <v>1</v>
      </c>
      <c r="D22" s="576">
        <v>60</v>
      </c>
      <c r="E22" s="357">
        <v>1</v>
      </c>
      <c r="F22" s="357">
        <f t="shared" si="0"/>
        <v>60</v>
      </c>
      <c r="G22" s="357">
        <f t="shared" si="1"/>
        <v>60</v>
      </c>
    </row>
    <row r="23" spans="1:7" s="285" customFormat="1" ht="24.6" customHeight="1" x14ac:dyDescent="0.2">
      <c r="A23" s="54">
        <v>13</v>
      </c>
      <c r="B23" s="356" t="s">
        <v>3895</v>
      </c>
      <c r="C23" s="60">
        <v>1</v>
      </c>
      <c r="D23" s="576">
        <v>60</v>
      </c>
      <c r="E23" s="357">
        <v>1</v>
      </c>
      <c r="F23" s="357">
        <f t="shared" si="0"/>
        <v>60</v>
      </c>
      <c r="G23" s="357">
        <f t="shared" si="1"/>
        <v>60</v>
      </c>
    </row>
    <row r="24" spans="1:7" s="358" customFormat="1" x14ac:dyDescent="0.2">
      <c r="A24" s="54">
        <v>14</v>
      </c>
      <c r="B24" s="356" t="s">
        <v>4146</v>
      </c>
      <c r="C24" s="60">
        <v>1</v>
      </c>
      <c r="D24" s="576">
        <v>80</v>
      </c>
      <c r="E24" s="357">
        <v>1</v>
      </c>
      <c r="F24" s="357">
        <f t="shared" si="0"/>
        <v>80</v>
      </c>
      <c r="G24" s="357">
        <f t="shared" si="1"/>
        <v>80</v>
      </c>
    </row>
    <row r="25" spans="1:7" s="358" customFormat="1" x14ac:dyDescent="0.2">
      <c r="A25" s="54">
        <v>15</v>
      </c>
      <c r="B25" s="356" t="s">
        <v>4141</v>
      </c>
      <c r="C25" s="60">
        <v>1</v>
      </c>
      <c r="D25" s="576">
        <v>100</v>
      </c>
      <c r="E25" s="357">
        <v>1</v>
      </c>
      <c r="F25" s="357">
        <f t="shared" si="0"/>
        <v>100</v>
      </c>
      <c r="G25" s="357">
        <f t="shared" si="1"/>
        <v>100</v>
      </c>
    </row>
    <row r="26" spans="1:7" s="358" customFormat="1" x14ac:dyDescent="0.2">
      <c r="A26" s="54">
        <v>16</v>
      </c>
      <c r="B26" s="356" t="s">
        <v>4142</v>
      </c>
      <c r="C26" s="60">
        <v>1</v>
      </c>
      <c r="D26" s="576">
        <v>60</v>
      </c>
      <c r="E26" s="357">
        <v>1</v>
      </c>
      <c r="F26" s="357">
        <f t="shared" si="0"/>
        <v>60</v>
      </c>
      <c r="G26" s="357">
        <f t="shared" si="1"/>
        <v>60</v>
      </c>
    </row>
    <row r="27" spans="1:7" s="285" customFormat="1" ht="24.6" customHeight="1" x14ac:dyDescent="0.2">
      <c r="A27" s="54">
        <v>17</v>
      </c>
      <c r="B27" s="356" t="s">
        <v>4140</v>
      </c>
      <c r="C27" s="60">
        <v>1</v>
      </c>
      <c r="D27" s="576">
        <v>1100</v>
      </c>
      <c r="E27" s="357">
        <v>1</v>
      </c>
      <c r="F27" s="357">
        <f>D27*E27</f>
        <v>1100</v>
      </c>
      <c r="G27" s="357">
        <f t="shared" si="1"/>
        <v>1100</v>
      </c>
    </row>
    <row r="28" spans="1:7" s="285" customFormat="1" ht="24.6" customHeight="1" x14ac:dyDescent="0.2">
      <c r="A28" s="54">
        <v>18</v>
      </c>
      <c r="B28" s="356" t="s">
        <v>4165</v>
      </c>
      <c r="C28" s="60">
        <v>1</v>
      </c>
      <c r="D28" s="576">
        <v>160</v>
      </c>
      <c r="E28" s="357">
        <v>1</v>
      </c>
      <c r="F28" s="357">
        <f>E28*D28</f>
        <v>160</v>
      </c>
      <c r="G28" s="357">
        <f t="shared" si="1"/>
        <v>160</v>
      </c>
    </row>
    <row r="29" spans="1:7" s="285" customFormat="1" ht="24.6" customHeight="1" x14ac:dyDescent="0.2">
      <c r="A29" s="54">
        <v>19</v>
      </c>
      <c r="B29" s="356" t="s">
        <v>4166</v>
      </c>
      <c r="C29" s="60">
        <v>1</v>
      </c>
      <c r="D29" s="576">
        <v>190</v>
      </c>
      <c r="E29" s="357">
        <v>1</v>
      </c>
      <c r="F29" s="357">
        <f>E29*D29</f>
        <v>190</v>
      </c>
      <c r="G29" s="357">
        <f>C29*F29</f>
        <v>190</v>
      </c>
    </row>
    <row r="30" spans="1:7" s="285" customFormat="1" ht="24.6" customHeight="1" x14ac:dyDescent="0.2">
      <c r="A30" s="54">
        <v>20</v>
      </c>
      <c r="B30" s="356" t="s">
        <v>4167</v>
      </c>
      <c r="C30" s="60">
        <v>1</v>
      </c>
      <c r="D30" s="576">
        <v>150</v>
      </c>
      <c r="E30" s="357">
        <v>1</v>
      </c>
      <c r="F30" s="357">
        <f>E30*D30</f>
        <v>150</v>
      </c>
      <c r="G30" s="357">
        <f>F30*C30</f>
        <v>150</v>
      </c>
    </row>
    <row r="31" spans="1:7" s="285" customFormat="1" ht="24.6" customHeight="1" x14ac:dyDescent="0.2">
      <c r="A31" s="54">
        <v>21</v>
      </c>
      <c r="B31" s="356" t="s">
        <v>4168</v>
      </c>
      <c r="C31" s="60">
        <v>1</v>
      </c>
      <c r="D31" s="576">
        <v>800</v>
      </c>
      <c r="E31" s="357">
        <v>1</v>
      </c>
      <c r="F31" s="357">
        <f>D31*E31</f>
        <v>800</v>
      </c>
      <c r="G31" s="357">
        <f>F31*C31</f>
        <v>800</v>
      </c>
    </row>
    <row r="32" spans="1:7" s="285" customFormat="1" ht="24.6" customHeight="1" x14ac:dyDescent="0.2">
      <c r="A32" s="54">
        <v>22</v>
      </c>
      <c r="B32" s="356" t="s">
        <v>4169</v>
      </c>
      <c r="C32" s="60">
        <v>1</v>
      </c>
      <c r="D32" s="576">
        <v>134</v>
      </c>
      <c r="E32" s="357">
        <v>1</v>
      </c>
      <c r="F32" s="357">
        <f>D32*E32</f>
        <v>134</v>
      </c>
      <c r="G32" s="357">
        <f>F32*C32</f>
        <v>134</v>
      </c>
    </row>
    <row r="33" spans="1:7" x14ac:dyDescent="0.2">
      <c r="A33" s="20"/>
      <c r="B33" s="323" t="s">
        <v>3825</v>
      </c>
      <c r="C33" s="324"/>
      <c r="D33" s="324"/>
      <c r="E33" s="324"/>
      <c r="F33" s="325"/>
      <c r="G33" s="326">
        <f>SUM(G11:G32)</f>
        <v>4874</v>
      </c>
    </row>
    <row r="34" spans="1:7" x14ac:dyDescent="0.2">
      <c r="A34" s="38"/>
      <c r="B34" s="38"/>
      <c r="C34" s="38"/>
      <c r="D34" s="38"/>
      <c r="E34" s="38"/>
    </row>
    <row r="35" spans="1:7" ht="15" hidden="1" x14ac:dyDescent="0.2">
      <c r="B35" s="791" t="s">
        <v>3847</v>
      </c>
      <c r="C35" s="791"/>
      <c r="D35" s="791"/>
      <c r="E35" s="791"/>
      <c r="F35" s="791"/>
    </row>
    <row r="36" spans="1:7" s="23" customFormat="1" ht="17.25" customHeight="1" x14ac:dyDescent="0.2">
      <c r="A36" s="21"/>
    </row>
    <row r="37" spans="1:7" s="23" customFormat="1" ht="18" customHeight="1" x14ac:dyDescent="0.2">
      <c r="A37" s="42"/>
      <c r="B37" s="25"/>
    </row>
    <row r="38" spans="1:7" s="23" customFormat="1" ht="15" x14ac:dyDescent="0.2">
      <c r="A38" s="42"/>
      <c r="B38" s="154"/>
    </row>
    <row r="39" spans="1:7" s="23" customFormat="1" ht="15" x14ac:dyDescent="0.2">
      <c r="A39" s="42"/>
      <c r="B39" s="154"/>
    </row>
    <row r="40" spans="1:7" s="23" customFormat="1" ht="15" x14ac:dyDescent="0.2">
      <c r="A40" s="154"/>
    </row>
    <row r="41" spans="1:7" s="23" customFormat="1" ht="15" x14ac:dyDescent="0.2">
      <c r="A41" s="792"/>
      <c r="B41" s="793"/>
    </row>
    <row r="42" spans="1:7" s="23" customFormat="1" ht="15" customHeight="1" x14ac:dyDescent="0.2">
      <c r="A42" s="788"/>
      <c r="B42" s="788"/>
    </row>
    <row r="43" spans="1:7" s="23" customFormat="1" ht="15" x14ac:dyDescent="0.2">
      <c r="A43" s="788"/>
      <c r="B43" s="788"/>
    </row>
    <row r="44" spans="1:7" s="23" customFormat="1" ht="15" x14ac:dyDescent="0.2">
      <c r="A44" s="788"/>
      <c r="B44" s="788"/>
    </row>
    <row r="45" spans="1:7" s="23" customFormat="1" ht="15" x14ac:dyDescent="0.2">
      <c r="A45" s="154"/>
      <c r="B45" s="154"/>
    </row>
  </sheetData>
  <mergeCells count="8">
    <mergeCell ref="E1:G1"/>
    <mergeCell ref="A43:B43"/>
    <mergeCell ref="A44:B44"/>
    <mergeCell ref="B7:G7"/>
    <mergeCell ref="B35:F35"/>
    <mergeCell ref="A41:B41"/>
    <mergeCell ref="A42:B42"/>
    <mergeCell ref="E2:H2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27"/>
  <sheetViews>
    <sheetView workbookViewId="0">
      <selection activeCell="A15" sqref="A15:XFD15"/>
    </sheetView>
  </sheetViews>
  <sheetFormatPr defaultRowHeight="12.75" x14ac:dyDescent="0.2"/>
  <cols>
    <col min="1" max="1" width="3.7109375" customWidth="1"/>
    <col min="2" max="2" width="40.5703125" customWidth="1"/>
    <col min="3" max="3" width="15.7109375" customWidth="1"/>
    <col min="4" max="4" width="12.42578125" bestFit="1" customWidth="1"/>
    <col min="5" max="5" width="11.7109375" bestFit="1" customWidth="1"/>
    <col min="6" max="6" width="11.140625" bestFit="1" customWidth="1"/>
    <col min="7" max="7" width="18.42578125" bestFit="1" customWidth="1"/>
    <col min="9" max="9" width="17" customWidth="1"/>
  </cols>
  <sheetData>
    <row r="1" spans="1:7" s="297" customFormat="1" ht="15" x14ac:dyDescent="0.2">
      <c r="B1" s="796"/>
      <c r="C1" s="796"/>
      <c r="D1" s="296"/>
      <c r="E1" s="801" t="s">
        <v>4036</v>
      </c>
      <c r="F1" s="801"/>
      <c r="G1" s="801"/>
    </row>
    <row r="2" spans="1:7" s="297" customFormat="1" ht="15" x14ac:dyDescent="0.2">
      <c r="B2" s="796"/>
      <c r="C2" s="796"/>
      <c r="D2" s="296"/>
      <c r="E2" s="801" t="s">
        <v>68</v>
      </c>
      <c r="F2" s="801"/>
      <c r="G2" s="801"/>
    </row>
    <row r="3" spans="1:7" s="24" customFormat="1" ht="15" x14ac:dyDescent="0.2"/>
    <row r="4" spans="1:7" s="24" customFormat="1" ht="15" x14ac:dyDescent="0.2"/>
    <row r="5" spans="1:7" s="24" customFormat="1" ht="15" x14ac:dyDescent="0.2"/>
    <row r="6" spans="1:7" ht="15.75" x14ac:dyDescent="0.25">
      <c r="A6" s="10"/>
      <c r="B6" s="10"/>
    </row>
    <row r="7" spans="1:7" ht="32.25" customHeight="1" x14ac:dyDescent="0.2">
      <c r="A7" s="787" t="s">
        <v>3902</v>
      </c>
      <c r="B7" s="787"/>
      <c r="C7" s="787"/>
      <c r="D7" s="787"/>
      <c r="E7" s="787"/>
      <c r="F7" s="787"/>
      <c r="G7" s="787"/>
    </row>
    <row r="8" spans="1:7" x14ac:dyDescent="0.2">
      <c r="A8" s="12"/>
      <c r="B8" s="12"/>
    </row>
    <row r="9" spans="1:7" s="53" customFormat="1" ht="48.75" customHeight="1" x14ac:dyDescent="0.2">
      <c r="A9" s="51" t="s">
        <v>122</v>
      </c>
      <c r="B9" s="51" t="s">
        <v>3900</v>
      </c>
      <c r="C9" s="52" t="s">
        <v>3901</v>
      </c>
      <c r="D9" s="291" t="s">
        <v>4358</v>
      </c>
      <c r="E9" s="291" t="s">
        <v>4359</v>
      </c>
      <c r="F9" s="291" t="s">
        <v>4322</v>
      </c>
      <c r="G9" s="176" t="s">
        <v>3967</v>
      </c>
    </row>
    <row r="10" spans="1:7" s="56" customFormat="1" ht="11.25" x14ac:dyDescent="0.2">
      <c r="A10" s="54">
        <v>1</v>
      </c>
      <c r="B10" s="55">
        <v>2</v>
      </c>
      <c r="C10" s="54">
        <v>3</v>
      </c>
      <c r="D10" s="55">
        <v>4</v>
      </c>
      <c r="E10" s="54">
        <v>5</v>
      </c>
      <c r="F10" s="55">
        <v>6</v>
      </c>
      <c r="G10" s="54">
        <v>7</v>
      </c>
    </row>
    <row r="11" spans="1:7" s="59" customFormat="1" ht="24.6" hidden="1" customHeight="1" x14ac:dyDescent="0.2">
      <c r="A11" s="57">
        <v>1</v>
      </c>
      <c r="B11" s="213" t="s">
        <v>3921</v>
      </c>
      <c r="C11" s="60">
        <v>2</v>
      </c>
      <c r="D11" s="362">
        <v>0</v>
      </c>
      <c r="E11" s="205">
        <v>1</v>
      </c>
      <c r="F11" s="205">
        <f>D11*E11</f>
        <v>0</v>
      </c>
      <c r="G11" s="205">
        <f>C11*F11</f>
        <v>0</v>
      </c>
    </row>
    <row r="12" spans="1:7" s="59" customFormat="1" ht="26.25" hidden="1" customHeight="1" x14ac:dyDescent="0.2">
      <c r="A12" s="57">
        <v>2</v>
      </c>
      <c r="B12" s="213" t="s">
        <v>3922</v>
      </c>
      <c r="C12" s="60">
        <v>2</v>
      </c>
      <c r="D12" s="245"/>
      <c r="E12" s="205">
        <v>1</v>
      </c>
      <c r="F12" s="205">
        <f>D12*E12</f>
        <v>0</v>
      </c>
      <c r="G12" s="205">
        <f t="shared" ref="G12:G15" si="0">C12*F12</f>
        <v>0</v>
      </c>
    </row>
    <row r="13" spans="1:7" s="59" customFormat="1" ht="30" customHeight="1" x14ac:dyDescent="0.2">
      <c r="A13" s="57">
        <v>1</v>
      </c>
      <c r="B13" s="213" t="s">
        <v>3923</v>
      </c>
      <c r="C13" s="60">
        <v>2</v>
      </c>
      <c r="D13" s="362">
        <v>7869.36</v>
      </c>
      <c r="E13" s="205">
        <v>1</v>
      </c>
      <c r="F13" s="205">
        <f>D13*E13</f>
        <v>7869.36</v>
      </c>
      <c r="G13" s="205">
        <f t="shared" si="0"/>
        <v>15738.72</v>
      </c>
    </row>
    <row r="14" spans="1:7" s="59" customFormat="1" ht="28.5" customHeight="1" x14ac:dyDescent="0.2">
      <c r="A14" s="57">
        <v>2</v>
      </c>
      <c r="B14" s="213" t="s">
        <v>3926</v>
      </c>
      <c r="C14" s="60">
        <v>2</v>
      </c>
      <c r="D14" s="363">
        <v>7513.08</v>
      </c>
      <c r="E14" s="205">
        <v>1</v>
      </c>
      <c r="F14" s="205">
        <f>D14*E14</f>
        <v>7513.08</v>
      </c>
      <c r="G14" s="205">
        <f t="shared" si="0"/>
        <v>15026.16</v>
      </c>
    </row>
    <row r="15" spans="1:7" s="59" customFormat="1" ht="24.75" customHeight="1" x14ac:dyDescent="0.2">
      <c r="A15" s="57">
        <v>3</v>
      </c>
      <c r="B15" s="213" t="s">
        <v>3927</v>
      </c>
      <c r="C15" s="60">
        <v>2</v>
      </c>
      <c r="D15" s="362">
        <v>1976.7</v>
      </c>
      <c r="E15" s="205">
        <v>1</v>
      </c>
      <c r="F15" s="205">
        <f>D15*E15</f>
        <v>1976.7</v>
      </c>
      <c r="G15" s="205">
        <f t="shared" si="0"/>
        <v>3953.4</v>
      </c>
    </row>
    <row r="16" spans="1:7" x14ac:dyDescent="0.2">
      <c r="A16" s="20"/>
      <c r="B16" s="323" t="s">
        <v>3825</v>
      </c>
      <c r="C16" s="324"/>
      <c r="D16" s="324"/>
      <c r="E16" s="324"/>
      <c r="F16" s="325"/>
      <c r="G16" s="322">
        <f>SUM(G11:G15)</f>
        <v>34718.28</v>
      </c>
    </row>
    <row r="17" spans="1:6" ht="15" hidden="1" x14ac:dyDescent="0.2">
      <c r="B17" s="791" t="s">
        <v>3847</v>
      </c>
      <c r="C17" s="791"/>
      <c r="D17" s="791"/>
      <c r="E17" s="791"/>
      <c r="F17" s="791"/>
    </row>
    <row r="18" spans="1:6" s="23" customFormat="1" ht="17.25" customHeight="1" x14ac:dyDescent="0.2">
      <c r="A18" s="21"/>
    </row>
    <row r="19" spans="1:6" s="23" customFormat="1" ht="18" customHeight="1" x14ac:dyDescent="0.2">
      <c r="A19" s="42"/>
      <c r="B19" s="25"/>
    </row>
    <row r="20" spans="1:6" s="23" customFormat="1" ht="15" x14ac:dyDescent="0.2">
      <c r="A20" s="42"/>
      <c r="B20" s="154"/>
    </row>
    <row r="21" spans="1:6" s="23" customFormat="1" ht="15" x14ac:dyDescent="0.2">
      <c r="A21" s="42"/>
      <c r="B21" s="154"/>
    </row>
    <row r="22" spans="1:6" s="23" customFormat="1" ht="15" x14ac:dyDescent="0.2">
      <c r="A22" s="154"/>
    </row>
    <row r="23" spans="1:6" s="23" customFormat="1" ht="15" x14ac:dyDescent="0.2">
      <c r="A23" s="792"/>
      <c r="B23" s="793"/>
    </row>
    <row r="24" spans="1:6" s="23" customFormat="1" ht="15" customHeight="1" x14ac:dyDescent="0.2">
      <c r="A24" s="788"/>
      <c r="B24" s="788"/>
    </row>
    <row r="25" spans="1:6" s="23" customFormat="1" ht="15" x14ac:dyDescent="0.2">
      <c r="A25" s="788"/>
      <c r="B25" s="788"/>
    </row>
    <row r="26" spans="1:6" s="23" customFormat="1" ht="15" x14ac:dyDescent="0.2">
      <c r="A26" s="788"/>
      <c r="B26" s="788"/>
    </row>
    <row r="27" spans="1:6" s="23" customFormat="1" ht="15" x14ac:dyDescent="0.2">
      <c r="A27" s="154"/>
      <c r="B27" s="154"/>
    </row>
  </sheetData>
  <mergeCells count="10">
    <mergeCell ref="A25:B25"/>
    <mergeCell ref="A26:B26"/>
    <mergeCell ref="B1:C1"/>
    <mergeCell ref="B2:C2"/>
    <mergeCell ref="B17:F17"/>
    <mergeCell ref="A23:B23"/>
    <mergeCell ref="A24:B24"/>
    <mergeCell ref="A7:G7"/>
    <mergeCell ref="E1:G1"/>
    <mergeCell ref="E2:G2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28"/>
  <sheetViews>
    <sheetView workbookViewId="0">
      <selection activeCell="E1" sqref="E1:G1"/>
    </sheetView>
  </sheetViews>
  <sheetFormatPr defaultRowHeight="12.75" x14ac:dyDescent="0.2"/>
  <cols>
    <col min="1" max="1" width="3.7109375" customWidth="1"/>
    <col min="2" max="2" width="39.28515625" bestFit="1" customWidth="1"/>
    <col min="3" max="3" width="15.7109375" bestFit="1" customWidth="1"/>
    <col min="4" max="4" width="12.42578125" bestFit="1" customWidth="1"/>
    <col min="5" max="5" width="11.7109375" bestFit="1" customWidth="1"/>
    <col min="6" max="6" width="11.140625" bestFit="1" customWidth="1"/>
    <col min="7" max="7" width="18.42578125" bestFit="1" customWidth="1"/>
    <col min="9" max="9" width="16.28515625" customWidth="1"/>
  </cols>
  <sheetData>
    <row r="1" spans="1:8" s="297" customFormat="1" ht="15" x14ac:dyDescent="0.2">
      <c r="B1" s="796"/>
      <c r="C1" s="796"/>
      <c r="D1" s="296"/>
      <c r="E1" s="801" t="s">
        <v>4597</v>
      </c>
      <c r="F1" s="801"/>
      <c r="G1" s="801"/>
    </row>
    <row r="2" spans="1:8" s="297" customFormat="1" ht="15" x14ac:dyDescent="0.2">
      <c r="B2" s="796"/>
      <c r="C2" s="796"/>
      <c r="D2" s="296"/>
      <c r="E2" s="801" t="s">
        <v>4586</v>
      </c>
      <c r="F2" s="801"/>
      <c r="G2" s="801"/>
      <c r="H2" s="801"/>
    </row>
    <row r="3" spans="1:8" s="24" customFormat="1" ht="15" x14ac:dyDescent="0.2"/>
    <row r="4" spans="1:8" s="24" customFormat="1" ht="15" x14ac:dyDescent="0.2"/>
    <row r="5" spans="1:8" s="24" customFormat="1" ht="15" x14ac:dyDescent="0.2"/>
    <row r="6" spans="1:8" ht="15.75" x14ac:dyDescent="0.25">
      <c r="A6" s="10"/>
      <c r="B6" s="10"/>
    </row>
    <row r="7" spans="1:8" ht="48" customHeight="1" x14ac:dyDescent="0.2">
      <c r="A7" s="787" t="s">
        <v>3904</v>
      </c>
      <c r="B7" s="787"/>
      <c r="C7" s="787"/>
      <c r="D7" s="787"/>
      <c r="E7" s="787"/>
      <c r="F7" s="787"/>
      <c r="G7" s="787"/>
    </row>
    <row r="8" spans="1:8" x14ac:dyDescent="0.2">
      <c r="A8" s="12"/>
      <c r="B8" s="12"/>
    </row>
    <row r="9" spans="1:8" s="53" customFormat="1" ht="61.5" customHeight="1" x14ac:dyDescent="0.2">
      <c r="A9" s="202" t="s">
        <v>4105</v>
      </c>
      <c r="B9" s="202" t="s">
        <v>3900</v>
      </c>
      <c r="C9" s="306" t="s">
        <v>3901</v>
      </c>
      <c r="D9" s="291" t="s">
        <v>4369</v>
      </c>
      <c r="E9" s="291" t="s">
        <v>4580</v>
      </c>
      <c r="F9" s="291" t="s">
        <v>4360</v>
      </c>
      <c r="G9" s="304" t="s">
        <v>3967</v>
      </c>
    </row>
    <row r="10" spans="1:8" s="56" customFormat="1" ht="11.25" x14ac:dyDescent="0.2">
      <c r="A10" s="54">
        <v>1</v>
      </c>
      <c r="B10" s="55">
        <v>2</v>
      </c>
      <c r="C10" s="54">
        <v>3</v>
      </c>
      <c r="D10" s="55">
        <v>4</v>
      </c>
      <c r="E10" s="54">
        <v>5</v>
      </c>
      <c r="F10" s="55">
        <v>6</v>
      </c>
      <c r="G10" s="54">
        <v>7</v>
      </c>
    </row>
    <row r="11" spans="1:8" s="59" customFormat="1" ht="24.6" hidden="1" customHeight="1" x14ac:dyDescent="0.2">
      <c r="A11" s="57">
        <v>1</v>
      </c>
      <c r="B11" s="175" t="s">
        <v>3921</v>
      </c>
      <c r="C11" s="60">
        <v>2</v>
      </c>
      <c r="D11" s="362">
        <v>0</v>
      </c>
      <c r="E11" s="205">
        <v>1</v>
      </c>
      <c r="F11" s="205">
        <f t="shared" ref="F11:F16" si="0">D11*E11</f>
        <v>0</v>
      </c>
      <c r="G11" s="205">
        <f>C11*F11</f>
        <v>0</v>
      </c>
    </row>
    <row r="12" spans="1:8" s="59" customFormat="1" ht="29.25" hidden="1" customHeight="1" x14ac:dyDescent="0.2">
      <c r="A12" s="57">
        <v>2</v>
      </c>
      <c r="B12" s="175" t="s">
        <v>3922</v>
      </c>
      <c r="C12" s="60">
        <v>2</v>
      </c>
      <c r="D12" s="446"/>
      <c r="E12" s="205">
        <v>1</v>
      </c>
      <c r="F12" s="205">
        <f t="shared" si="0"/>
        <v>0</v>
      </c>
      <c r="G12" s="205">
        <f t="shared" ref="G12:G14" si="1">C12*F12</f>
        <v>0</v>
      </c>
    </row>
    <row r="13" spans="1:8" s="59" customFormat="1" ht="27.75" customHeight="1" x14ac:dyDescent="0.2">
      <c r="A13" s="57">
        <v>1</v>
      </c>
      <c r="B13" s="213" t="s">
        <v>3923</v>
      </c>
      <c r="C13" s="60">
        <v>2</v>
      </c>
      <c r="D13" s="583">
        <v>7869.36</v>
      </c>
      <c r="E13" s="205">
        <v>1</v>
      </c>
      <c r="F13" s="205">
        <f t="shared" si="0"/>
        <v>7869.36</v>
      </c>
      <c r="G13" s="205">
        <f>C13*F13</f>
        <v>15738.72</v>
      </c>
    </row>
    <row r="14" spans="1:8" s="59" customFormat="1" ht="24.6" customHeight="1" x14ac:dyDescent="0.2">
      <c r="A14" s="57">
        <v>2</v>
      </c>
      <c r="B14" s="213" t="s">
        <v>3924</v>
      </c>
      <c r="C14" s="60">
        <v>2</v>
      </c>
      <c r="D14" s="583">
        <v>1666.56</v>
      </c>
      <c r="E14" s="205">
        <v>1</v>
      </c>
      <c r="F14" s="205">
        <f t="shared" si="0"/>
        <v>1666.56</v>
      </c>
      <c r="G14" s="205">
        <f t="shared" si="1"/>
        <v>3333.12</v>
      </c>
    </row>
    <row r="15" spans="1:8" s="59" customFormat="1" ht="24.6" customHeight="1" x14ac:dyDescent="0.2">
      <c r="A15" s="57">
        <v>3</v>
      </c>
      <c r="B15" s="213" t="s">
        <v>4374</v>
      </c>
      <c r="C15" s="60">
        <v>2</v>
      </c>
      <c r="D15" s="577">
        <v>8646</v>
      </c>
      <c r="E15" s="205">
        <v>1</v>
      </c>
      <c r="F15" s="205">
        <f t="shared" si="0"/>
        <v>8646</v>
      </c>
      <c r="G15" s="205">
        <f t="shared" ref="G15" si="2">C15*F15</f>
        <v>17292</v>
      </c>
    </row>
    <row r="16" spans="1:8" s="59" customFormat="1" ht="24.75" customHeight="1" x14ac:dyDescent="0.2">
      <c r="A16" s="57">
        <v>4</v>
      </c>
      <c r="B16" s="213" t="s">
        <v>3927</v>
      </c>
      <c r="C16" s="60">
        <v>2</v>
      </c>
      <c r="D16" s="583">
        <v>1976.7</v>
      </c>
      <c r="E16" s="205">
        <v>1</v>
      </c>
      <c r="F16" s="205">
        <f t="shared" si="0"/>
        <v>1976.7</v>
      </c>
      <c r="G16" s="205">
        <f>C16*F16</f>
        <v>3953.4</v>
      </c>
    </row>
    <row r="17" spans="1:7" x14ac:dyDescent="0.2">
      <c r="A17" s="20"/>
      <c r="B17" s="323" t="s">
        <v>3825</v>
      </c>
      <c r="C17" s="324"/>
      <c r="D17" s="324"/>
      <c r="E17" s="324"/>
      <c r="F17" s="325"/>
      <c r="G17" s="322">
        <f>SUM(G11:G16)</f>
        <v>40317.24</v>
      </c>
    </row>
    <row r="18" spans="1:7" ht="15" hidden="1" x14ac:dyDescent="0.2">
      <c r="B18" s="791" t="s">
        <v>3847</v>
      </c>
      <c r="C18" s="791"/>
      <c r="D18" s="791"/>
      <c r="E18" s="791"/>
      <c r="F18" s="791"/>
    </row>
    <row r="19" spans="1:7" s="23" customFormat="1" ht="17.25" customHeight="1" x14ac:dyDescent="0.2">
      <c r="A19" s="21"/>
    </row>
    <row r="20" spans="1:7" s="23" customFormat="1" ht="18" customHeight="1" x14ac:dyDescent="0.2">
      <c r="A20" s="42"/>
      <c r="B20" s="25"/>
    </row>
    <row r="21" spans="1:7" s="23" customFormat="1" ht="15" x14ac:dyDescent="0.2">
      <c r="A21" s="42"/>
      <c r="B21" s="154"/>
    </row>
    <row r="22" spans="1:7" s="23" customFormat="1" ht="15" x14ac:dyDescent="0.2">
      <c r="A22" s="42"/>
      <c r="B22" s="154"/>
    </row>
    <row r="23" spans="1:7" s="23" customFormat="1" ht="15" x14ac:dyDescent="0.2">
      <c r="A23" s="154"/>
    </row>
    <row r="24" spans="1:7" s="23" customFormat="1" ht="15" x14ac:dyDescent="0.2">
      <c r="A24" s="792"/>
      <c r="B24" s="793"/>
    </row>
    <row r="25" spans="1:7" s="23" customFormat="1" ht="15" customHeight="1" x14ac:dyDescent="0.2">
      <c r="A25" s="788"/>
      <c r="B25" s="788"/>
    </row>
    <row r="26" spans="1:7" s="23" customFormat="1" ht="15" x14ac:dyDescent="0.2">
      <c r="A26" s="788"/>
      <c r="B26" s="788"/>
    </row>
    <row r="27" spans="1:7" s="23" customFormat="1" ht="15" x14ac:dyDescent="0.2">
      <c r="A27" s="788"/>
      <c r="B27" s="788"/>
    </row>
    <row r="28" spans="1:7" s="23" customFormat="1" ht="15" x14ac:dyDescent="0.2">
      <c r="A28" s="154"/>
      <c r="B28" s="154"/>
    </row>
  </sheetData>
  <mergeCells count="10">
    <mergeCell ref="A26:B26"/>
    <mergeCell ref="A27:B27"/>
    <mergeCell ref="B1:C1"/>
    <mergeCell ref="B2:C2"/>
    <mergeCell ref="B18:F18"/>
    <mergeCell ref="A24:B24"/>
    <mergeCell ref="A25:B25"/>
    <mergeCell ref="E1:G1"/>
    <mergeCell ref="A7:G7"/>
    <mergeCell ref="E2:H2"/>
  </mergeCells>
  <pageMargins left="0.7" right="0.7" top="0.75" bottom="0.75" header="0.3" footer="0.3"/>
  <pageSetup paperSize="9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25"/>
  <sheetViews>
    <sheetView workbookViewId="0">
      <selection activeCell="E1" sqref="E1:G1"/>
    </sheetView>
  </sheetViews>
  <sheetFormatPr defaultRowHeight="12.75" x14ac:dyDescent="0.2"/>
  <cols>
    <col min="1" max="1" width="3.7109375" customWidth="1"/>
    <col min="2" max="2" width="39.28515625" bestFit="1" customWidth="1"/>
    <col min="3" max="3" width="15.7109375" bestFit="1" customWidth="1"/>
    <col min="4" max="4" width="12.42578125" bestFit="1" customWidth="1"/>
    <col min="5" max="5" width="11.7109375" bestFit="1" customWidth="1"/>
    <col min="6" max="6" width="11.140625" bestFit="1" customWidth="1"/>
    <col min="7" max="7" width="18.42578125" bestFit="1" customWidth="1"/>
    <col min="9" max="9" width="16.28515625" customWidth="1"/>
  </cols>
  <sheetData>
    <row r="1" spans="1:8" s="297" customFormat="1" ht="15" x14ac:dyDescent="0.2">
      <c r="B1" s="796"/>
      <c r="C1" s="796"/>
      <c r="D1" s="752"/>
      <c r="E1" s="801" t="s">
        <v>4716</v>
      </c>
      <c r="F1" s="801"/>
      <c r="G1" s="801"/>
    </row>
    <row r="2" spans="1:8" s="297" customFormat="1" ht="15" x14ac:dyDescent="0.2">
      <c r="B2" s="796"/>
      <c r="C2" s="796"/>
      <c r="D2" s="752"/>
      <c r="E2" s="801" t="s">
        <v>4586</v>
      </c>
      <c r="F2" s="801"/>
      <c r="G2" s="801"/>
      <c r="H2" s="801"/>
    </row>
    <row r="3" spans="1:8" s="24" customFormat="1" ht="15" x14ac:dyDescent="0.2"/>
    <row r="4" spans="1:8" s="24" customFormat="1" ht="15" x14ac:dyDescent="0.2"/>
    <row r="5" spans="1:8" s="24" customFormat="1" ht="15" x14ac:dyDescent="0.2"/>
    <row r="6" spans="1:8" ht="15.75" x14ac:dyDescent="0.25">
      <c r="A6" s="10"/>
      <c r="B6" s="10"/>
    </row>
    <row r="7" spans="1:8" ht="48" customHeight="1" x14ac:dyDescent="0.2">
      <c r="A7" s="787" t="s">
        <v>4634</v>
      </c>
      <c r="B7" s="787"/>
      <c r="C7" s="787"/>
      <c r="D7" s="787"/>
      <c r="E7" s="787"/>
      <c r="F7" s="787"/>
      <c r="G7" s="787"/>
    </row>
    <row r="8" spans="1:8" x14ac:dyDescent="0.2">
      <c r="A8" s="12"/>
      <c r="B8" s="12"/>
    </row>
    <row r="9" spans="1:8" s="53" customFormat="1" ht="61.5" customHeight="1" x14ac:dyDescent="0.2">
      <c r="A9" s="754" t="s">
        <v>4105</v>
      </c>
      <c r="B9" s="754" t="s">
        <v>3900</v>
      </c>
      <c r="C9" s="306" t="s">
        <v>3901</v>
      </c>
      <c r="D9" s="291" t="s">
        <v>4369</v>
      </c>
      <c r="E9" s="291" t="s">
        <v>4580</v>
      </c>
      <c r="F9" s="291" t="s">
        <v>4360</v>
      </c>
      <c r="G9" s="753" t="s">
        <v>3967</v>
      </c>
    </row>
    <row r="10" spans="1:8" s="56" customFormat="1" ht="11.25" x14ac:dyDescent="0.2">
      <c r="A10" s="54">
        <v>1</v>
      </c>
      <c r="B10" s="55">
        <v>2</v>
      </c>
      <c r="C10" s="54">
        <v>3</v>
      </c>
      <c r="D10" s="55">
        <v>4</v>
      </c>
      <c r="E10" s="54">
        <v>5</v>
      </c>
      <c r="F10" s="55">
        <v>6</v>
      </c>
      <c r="G10" s="54">
        <v>7</v>
      </c>
    </row>
    <row r="11" spans="1:8" s="59" customFormat="1" ht="24.6" hidden="1" customHeight="1" x14ac:dyDescent="0.2">
      <c r="A11" s="57">
        <v>1</v>
      </c>
      <c r="B11" s="175" t="s">
        <v>3921</v>
      </c>
      <c r="C11" s="60">
        <v>2</v>
      </c>
      <c r="D11" s="362">
        <v>0</v>
      </c>
      <c r="E11" s="205">
        <v>1</v>
      </c>
      <c r="F11" s="205">
        <f t="shared" ref="F11:F13" si="0">D11*E11</f>
        <v>0</v>
      </c>
      <c r="G11" s="205">
        <f>C11*F11</f>
        <v>0</v>
      </c>
    </row>
    <row r="12" spans="1:8" s="59" customFormat="1" ht="29.25" hidden="1" customHeight="1" x14ac:dyDescent="0.2">
      <c r="A12" s="57">
        <v>2</v>
      </c>
      <c r="B12" s="175" t="s">
        <v>3922</v>
      </c>
      <c r="C12" s="60">
        <v>2</v>
      </c>
      <c r="D12" s="446"/>
      <c r="E12" s="205">
        <v>1</v>
      </c>
      <c r="F12" s="205">
        <f t="shared" si="0"/>
        <v>0</v>
      </c>
      <c r="G12" s="205">
        <f t="shared" ref="G12" si="1">C12*F12</f>
        <v>0</v>
      </c>
    </row>
    <row r="13" spans="1:8" s="59" customFormat="1" ht="65.25" customHeight="1" x14ac:dyDescent="0.2">
      <c r="A13" s="57">
        <v>1</v>
      </c>
      <c r="B13" s="755" t="s">
        <v>4635</v>
      </c>
      <c r="C13" s="60">
        <v>1</v>
      </c>
      <c r="D13" s="583">
        <v>7869.36</v>
      </c>
      <c r="E13" s="205">
        <v>1</v>
      </c>
      <c r="F13" s="205">
        <f t="shared" si="0"/>
        <v>7869.36</v>
      </c>
      <c r="G13" s="205">
        <f>C13*F13</f>
        <v>7869.36</v>
      </c>
    </row>
    <row r="14" spans="1:8" x14ac:dyDescent="0.2">
      <c r="A14" s="20"/>
      <c r="B14" s="323" t="s">
        <v>3825</v>
      </c>
      <c r="C14" s="324"/>
      <c r="D14" s="324"/>
      <c r="E14" s="324"/>
      <c r="F14" s="325"/>
      <c r="G14" s="322">
        <f>SUM(G11:G13)</f>
        <v>7869.36</v>
      </c>
    </row>
    <row r="15" spans="1:8" ht="15" hidden="1" x14ac:dyDescent="0.2">
      <c r="B15" s="791" t="s">
        <v>3847</v>
      </c>
      <c r="C15" s="791"/>
      <c r="D15" s="791"/>
      <c r="E15" s="791"/>
      <c r="F15" s="791"/>
    </row>
    <row r="16" spans="1:8" s="23" customFormat="1" ht="17.25" customHeight="1" x14ac:dyDescent="0.2">
      <c r="A16" s="21"/>
    </row>
    <row r="17" spans="1:2" s="23" customFormat="1" ht="18" customHeight="1" x14ac:dyDescent="0.2">
      <c r="A17" s="42"/>
      <c r="B17" s="590"/>
    </row>
    <row r="18" spans="1:2" s="23" customFormat="1" ht="15" x14ac:dyDescent="0.2">
      <c r="A18" s="42"/>
      <c r="B18" s="751"/>
    </row>
    <row r="19" spans="1:2" s="23" customFormat="1" ht="15" x14ac:dyDescent="0.2">
      <c r="A19" s="42"/>
      <c r="B19" s="751"/>
    </row>
    <row r="20" spans="1:2" s="23" customFormat="1" ht="15" x14ac:dyDescent="0.2">
      <c r="A20" s="751"/>
    </row>
    <row r="21" spans="1:2" s="23" customFormat="1" ht="15" x14ac:dyDescent="0.2">
      <c r="A21" s="792"/>
      <c r="B21" s="793"/>
    </row>
    <row r="22" spans="1:2" s="23" customFormat="1" ht="15" customHeight="1" x14ac:dyDescent="0.2">
      <c r="A22" s="788"/>
      <c r="B22" s="788"/>
    </row>
    <row r="23" spans="1:2" s="23" customFormat="1" ht="15" x14ac:dyDescent="0.2">
      <c r="A23" s="788"/>
      <c r="B23" s="788"/>
    </row>
    <row r="24" spans="1:2" s="23" customFormat="1" ht="15" x14ac:dyDescent="0.2">
      <c r="A24" s="788"/>
      <c r="B24" s="788"/>
    </row>
    <row r="25" spans="1:2" s="23" customFormat="1" ht="15" x14ac:dyDescent="0.2">
      <c r="A25" s="751"/>
      <c r="B25" s="751"/>
    </row>
  </sheetData>
  <mergeCells count="10">
    <mergeCell ref="A21:B21"/>
    <mergeCell ref="A22:B22"/>
    <mergeCell ref="A23:B23"/>
    <mergeCell ref="A24:B24"/>
    <mergeCell ref="B1:C1"/>
    <mergeCell ref="E1:G1"/>
    <mergeCell ref="B2:C2"/>
    <mergeCell ref="E2:H2"/>
    <mergeCell ref="A7:G7"/>
    <mergeCell ref="B15:F15"/>
  </mergeCells>
  <pageMargins left="0.7" right="0.7" top="0.75" bottom="0.75" header="0.3" footer="0.3"/>
  <pageSetup paperSize="9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25"/>
  <sheetViews>
    <sheetView workbookViewId="0">
      <selection activeCell="E1" sqref="E1:G1"/>
    </sheetView>
  </sheetViews>
  <sheetFormatPr defaultRowHeight="12.75" x14ac:dyDescent="0.2"/>
  <cols>
    <col min="1" max="1" width="3.7109375" customWidth="1"/>
    <col min="2" max="2" width="38.7109375" customWidth="1"/>
    <col min="3" max="3" width="17.42578125" bestFit="1" customWidth="1"/>
    <col min="4" max="4" width="12.42578125" bestFit="1" customWidth="1"/>
    <col min="5" max="5" width="11.7109375" bestFit="1" customWidth="1"/>
    <col min="6" max="6" width="11.140625" bestFit="1" customWidth="1"/>
    <col min="7" max="7" width="18.42578125" bestFit="1" customWidth="1"/>
    <col min="9" max="9" width="17.85546875" customWidth="1"/>
  </cols>
  <sheetData>
    <row r="1" spans="1:8" s="24" customFormat="1" ht="15" x14ac:dyDescent="0.2">
      <c r="B1" s="796"/>
      <c r="C1" s="796"/>
      <c r="D1" s="296"/>
      <c r="E1" s="801" t="s">
        <v>4717</v>
      </c>
      <c r="F1" s="801"/>
      <c r="G1" s="801"/>
    </row>
    <row r="2" spans="1:8" s="24" customFormat="1" ht="15" x14ac:dyDescent="0.2">
      <c r="B2" s="796"/>
      <c r="C2" s="796"/>
      <c r="D2" s="296"/>
      <c r="E2" s="801" t="s">
        <v>4586</v>
      </c>
      <c r="F2" s="801"/>
      <c r="G2" s="801"/>
      <c r="H2" s="801"/>
    </row>
    <row r="3" spans="1:8" s="24" customFormat="1" ht="15" x14ac:dyDescent="0.2"/>
    <row r="4" spans="1:8" s="24" customFormat="1" ht="15" x14ac:dyDescent="0.2"/>
    <row r="5" spans="1:8" s="24" customFormat="1" ht="15" x14ac:dyDescent="0.2"/>
    <row r="6" spans="1:8" ht="15.75" x14ac:dyDescent="0.25">
      <c r="A6" s="10"/>
      <c r="B6" s="10"/>
    </row>
    <row r="7" spans="1:8" ht="32.25" customHeight="1" x14ac:dyDescent="0.2">
      <c r="A7" s="823" t="s">
        <v>3906</v>
      </c>
      <c r="B7" s="823"/>
      <c r="C7" s="823"/>
      <c r="D7" s="823"/>
      <c r="E7" s="823"/>
      <c r="F7" s="823"/>
      <c r="G7" s="823"/>
    </row>
    <row r="8" spans="1:8" x14ac:dyDescent="0.2">
      <c r="A8" s="12"/>
      <c r="B8" s="12"/>
    </row>
    <row r="9" spans="1:8" s="53" customFormat="1" ht="55.5" customHeight="1" x14ac:dyDescent="0.2">
      <c r="A9" s="202" t="s">
        <v>122</v>
      </c>
      <c r="B9" s="202" t="s">
        <v>3900</v>
      </c>
      <c r="C9" s="306" t="s">
        <v>3901</v>
      </c>
      <c r="D9" s="291" t="s">
        <v>4369</v>
      </c>
      <c r="E9" s="291" t="s">
        <v>4580</v>
      </c>
      <c r="F9" s="291" t="s">
        <v>4360</v>
      </c>
      <c r="G9" s="304" t="s">
        <v>3967</v>
      </c>
    </row>
    <row r="10" spans="1:8" s="56" customFormat="1" ht="11.25" x14ac:dyDescent="0.2">
      <c r="A10" s="54">
        <v>1</v>
      </c>
      <c r="B10" s="55">
        <v>2</v>
      </c>
      <c r="C10" s="54">
        <v>3</v>
      </c>
      <c r="D10" s="55">
        <v>4</v>
      </c>
      <c r="E10" s="54">
        <v>5</v>
      </c>
      <c r="F10" s="55">
        <v>6</v>
      </c>
      <c r="G10" s="54">
        <v>7</v>
      </c>
    </row>
    <row r="11" spans="1:8" s="59" customFormat="1" ht="24.6" hidden="1" customHeight="1" x14ac:dyDescent="0.2">
      <c r="A11" s="57">
        <v>1</v>
      </c>
      <c r="B11" s="175" t="s">
        <v>3921</v>
      </c>
      <c r="C11" s="60">
        <v>2</v>
      </c>
      <c r="D11" s="362">
        <f>'подписка шк (226)'!D11</f>
        <v>0</v>
      </c>
      <c r="E11" s="205">
        <v>1</v>
      </c>
      <c r="F11" s="205">
        <f>D11*E11</f>
        <v>0</v>
      </c>
      <c r="G11" s="205">
        <f>C11*F11</f>
        <v>0</v>
      </c>
    </row>
    <row r="12" spans="1:8" s="59" customFormat="1" ht="29.25" hidden="1" customHeight="1" x14ac:dyDescent="0.2">
      <c r="A12" s="57">
        <v>2</v>
      </c>
      <c r="B12" s="213" t="s">
        <v>3922</v>
      </c>
      <c r="C12" s="60">
        <v>2</v>
      </c>
      <c r="D12" s="362">
        <f>'подписка шк (226)'!D12</f>
        <v>0</v>
      </c>
      <c r="E12" s="205">
        <v>1</v>
      </c>
      <c r="F12" s="205">
        <f>D12*E12</f>
        <v>0</v>
      </c>
      <c r="G12" s="205">
        <f t="shared" ref="G12:G13" si="0">C12*F12</f>
        <v>0</v>
      </c>
    </row>
    <row r="13" spans="1:8" s="59" customFormat="1" ht="26.25" customHeight="1" x14ac:dyDescent="0.2">
      <c r="A13" s="57">
        <v>1</v>
      </c>
      <c r="B13" s="175" t="s">
        <v>3923</v>
      </c>
      <c r="C13" s="60">
        <v>2</v>
      </c>
      <c r="D13" s="583">
        <v>7869.36</v>
      </c>
      <c r="E13" s="205">
        <v>1</v>
      </c>
      <c r="F13" s="205">
        <f>D13*E13</f>
        <v>7869.36</v>
      </c>
      <c r="G13" s="205">
        <f t="shared" si="0"/>
        <v>15738.72</v>
      </c>
    </row>
    <row r="14" spans="1:8" x14ac:dyDescent="0.2">
      <c r="A14" s="20"/>
      <c r="B14" s="323" t="s">
        <v>3825</v>
      </c>
      <c r="C14" s="324"/>
      <c r="D14" s="324"/>
      <c r="E14" s="324"/>
      <c r="F14" s="325"/>
      <c r="G14" s="322">
        <f>SUM(G11:G13)</f>
        <v>15738.72</v>
      </c>
    </row>
    <row r="15" spans="1:8" ht="15" hidden="1" x14ac:dyDescent="0.2">
      <c r="B15" s="791" t="s">
        <v>3847</v>
      </c>
      <c r="C15" s="791"/>
      <c r="D15" s="791"/>
      <c r="E15" s="791"/>
      <c r="F15" s="791"/>
    </row>
    <row r="16" spans="1:8" s="23" customFormat="1" ht="17.25" customHeight="1" x14ac:dyDescent="0.2">
      <c r="A16" s="21"/>
    </row>
    <row r="17" spans="1:2" s="23" customFormat="1" ht="18" customHeight="1" x14ac:dyDescent="0.2">
      <c r="A17" s="42"/>
      <c r="B17" s="25"/>
    </row>
    <row r="18" spans="1:2" s="23" customFormat="1" ht="15" x14ac:dyDescent="0.2">
      <c r="A18" s="42"/>
      <c r="B18" s="154"/>
    </row>
    <row r="19" spans="1:2" s="23" customFormat="1" ht="15" x14ac:dyDescent="0.2">
      <c r="A19" s="42"/>
      <c r="B19" s="154"/>
    </row>
    <row r="20" spans="1:2" s="23" customFormat="1" ht="15" x14ac:dyDescent="0.2">
      <c r="A20" s="154"/>
    </row>
    <row r="21" spans="1:2" s="23" customFormat="1" ht="15" x14ac:dyDescent="0.2">
      <c r="A21" s="792"/>
      <c r="B21" s="793"/>
    </row>
    <row r="22" spans="1:2" s="23" customFormat="1" ht="15" customHeight="1" x14ac:dyDescent="0.2">
      <c r="A22" s="788"/>
      <c r="B22" s="788"/>
    </row>
    <row r="23" spans="1:2" s="23" customFormat="1" ht="15" x14ac:dyDescent="0.2">
      <c r="A23" s="788"/>
      <c r="B23" s="788"/>
    </row>
    <row r="24" spans="1:2" s="23" customFormat="1" ht="15" x14ac:dyDescent="0.2">
      <c r="A24" s="788"/>
      <c r="B24" s="788"/>
    </row>
    <row r="25" spans="1:2" s="23" customFormat="1" ht="15" x14ac:dyDescent="0.2">
      <c r="A25" s="154"/>
      <c r="B25" s="154"/>
    </row>
  </sheetData>
  <mergeCells count="10">
    <mergeCell ref="A23:B23"/>
    <mergeCell ref="A24:B24"/>
    <mergeCell ref="B1:C1"/>
    <mergeCell ref="B2:C2"/>
    <mergeCell ref="B15:F15"/>
    <mergeCell ref="A21:B21"/>
    <mergeCell ref="A22:B22"/>
    <mergeCell ref="E1:G1"/>
    <mergeCell ref="A7:G7"/>
    <mergeCell ref="E2:H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26"/>
  <sheetViews>
    <sheetView workbookViewId="0">
      <selection activeCell="E12" sqref="E12"/>
    </sheetView>
  </sheetViews>
  <sheetFormatPr defaultRowHeight="12.75" x14ac:dyDescent="0.2"/>
  <cols>
    <col min="1" max="1" width="4.85546875" customWidth="1"/>
    <col min="2" max="2" width="35.5703125" customWidth="1"/>
    <col min="3" max="3" width="8.42578125" bestFit="1" customWidth="1"/>
    <col min="4" max="4" width="14" customWidth="1"/>
    <col min="5" max="5" width="10.5703125" bestFit="1" customWidth="1"/>
    <col min="6" max="6" width="12" bestFit="1" customWidth="1"/>
    <col min="7" max="7" width="10.5703125" bestFit="1" customWidth="1"/>
    <col min="8" max="8" width="14.42578125" customWidth="1"/>
    <col min="10" max="10" width="15.7109375" customWidth="1"/>
  </cols>
  <sheetData>
    <row r="1" spans="1:8" s="24" customFormat="1" ht="15" x14ac:dyDescent="0.2">
      <c r="D1" s="331"/>
      <c r="E1" s="331"/>
      <c r="F1" s="801" t="s">
        <v>4036</v>
      </c>
      <c r="G1" s="801"/>
      <c r="H1" s="801"/>
    </row>
    <row r="2" spans="1:8" s="24" customFormat="1" ht="15" x14ac:dyDescent="0.2">
      <c r="D2" s="331"/>
      <c r="E2" s="331"/>
      <c r="F2" s="801" t="s">
        <v>68</v>
      </c>
      <c r="G2" s="801"/>
      <c r="H2" s="801"/>
    </row>
    <row r="3" spans="1:8" s="24" customFormat="1" ht="15" x14ac:dyDescent="0.2"/>
    <row r="4" spans="1:8" s="24" customFormat="1" ht="15" x14ac:dyDescent="0.2"/>
    <row r="5" spans="1:8" s="24" customFormat="1" ht="15" x14ac:dyDescent="0.2"/>
    <row r="6" spans="1:8" ht="15.75" x14ac:dyDescent="0.25">
      <c r="A6" s="10"/>
      <c r="B6" s="10"/>
    </row>
    <row r="7" spans="1:8" ht="48" customHeight="1" x14ac:dyDescent="0.2">
      <c r="A7" s="11"/>
      <c r="B7" s="823" t="s">
        <v>4114</v>
      </c>
      <c r="C7" s="823"/>
      <c r="D7" s="823"/>
      <c r="E7" s="823"/>
      <c r="F7" s="823"/>
      <c r="G7" s="823"/>
    </row>
    <row r="8" spans="1:8" x14ac:dyDescent="0.2">
      <c r="A8" s="12"/>
      <c r="B8" s="12"/>
    </row>
    <row r="9" spans="1:8" s="23" customFormat="1" ht="50.25" customHeight="1" x14ac:dyDescent="0.2">
      <c r="A9" s="223" t="s">
        <v>4047</v>
      </c>
      <c r="B9" s="224" t="s">
        <v>4048</v>
      </c>
      <c r="C9" s="224" t="s">
        <v>4049</v>
      </c>
      <c r="D9" s="224" t="s">
        <v>4050</v>
      </c>
      <c r="E9" s="291" t="s">
        <v>4358</v>
      </c>
      <c r="F9" s="291" t="s">
        <v>4359</v>
      </c>
      <c r="G9" s="291" t="s">
        <v>4322</v>
      </c>
      <c r="H9" s="224" t="s">
        <v>4051</v>
      </c>
    </row>
    <row r="10" spans="1:8" s="23" customFormat="1" ht="15" x14ac:dyDescent="0.2">
      <c r="A10" s="224">
        <v>1</v>
      </c>
      <c r="B10" s="224">
        <v>2</v>
      </c>
      <c r="C10" s="224">
        <v>3</v>
      </c>
      <c r="D10" s="224">
        <v>4</v>
      </c>
      <c r="E10" s="224">
        <v>5</v>
      </c>
      <c r="F10" s="224">
        <v>6</v>
      </c>
      <c r="G10" s="224">
        <v>7</v>
      </c>
      <c r="H10" s="224">
        <v>8</v>
      </c>
    </row>
    <row r="11" spans="1:8" s="23" customFormat="1" ht="64.5" customHeight="1" x14ac:dyDescent="0.2">
      <c r="A11" s="224" t="s">
        <v>4052</v>
      </c>
      <c r="B11" s="225" t="s">
        <v>4053</v>
      </c>
      <c r="C11" s="327" t="s">
        <v>4054</v>
      </c>
      <c r="D11" s="327">
        <v>0</v>
      </c>
      <c r="E11" s="327">
        <v>101</v>
      </c>
      <c r="F11" s="327">
        <v>1</v>
      </c>
      <c r="G11" s="328">
        <f>E11*F11</f>
        <v>101</v>
      </c>
      <c r="H11" s="328">
        <f>D11*G11</f>
        <v>0</v>
      </c>
    </row>
    <row r="12" spans="1:8" s="23" customFormat="1" ht="94.5" customHeight="1" x14ac:dyDescent="0.2">
      <c r="A12" s="224" t="s">
        <v>4055</v>
      </c>
      <c r="B12" s="225" t="s">
        <v>4056</v>
      </c>
      <c r="C12" s="327" t="s">
        <v>4054</v>
      </c>
      <c r="D12" s="327">
        <v>0</v>
      </c>
      <c r="E12" s="327">
        <v>820</v>
      </c>
      <c r="F12" s="327">
        <v>1</v>
      </c>
      <c r="G12" s="328">
        <f>E12*F12</f>
        <v>820</v>
      </c>
      <c r="H12" s="328">
        <f t="shared" ref="H12" si="0">D12*G12</f>
        <v>0</v>
      </c>
    </row>
    <row r="13" spans="1:8" s="23" customFormat="1" ht="15" hidden="1" x14ac:dyDescent="0.2">
      <c r="A13" s="224" t="s">
        <v>4057</v>
      </c>
      <c r="B13" s="225" t="s">
        <v>4058</v>
      </c>
      <c r="C13" s="224" t="s">
        <v>4054</v>
      </c>
      <c r="D13" s="224">
        <v>15</v>
      </c>
      <c r="E13" s="330"/>
      <c r="F13" s="224">
        <v>1</v>
      </c>
      <c r="G13" s="226">
        <f>E13*F13</f>
        <v>0</v>
      </c>
      <c r="H13" s="226">
        <f>D13*G13</f>
        <v>0</v>
      </c>
    </row>
    <row r="14" spans="1:8" x14ac:dyDescent="0.2">
      <c r="G14" s="227" t="s">
        <v>4059</v>
      </c>
      <c r="H14" s="228">
        <f>SUM(H11:H13)</f>
        <v>0</v>
      </c>
    </row>
    <row r="15" spans="1:8" x14ac:dyDescent="0.2">
      <c r="A15" s="38"/>
      <c r="B15" s="38"/>
      <c r="C15" s="38"/>
      <c r="G15" s="59"/>
    </row>
    <row r="16" spans="1:8" ht="15" hidden="1" x14ac:dyDescent="0.2">
      <c r="B16" s="791" t="s">
        <v>3847</v>
      </c>
      <c r="C16" s="791"/>
      <c r="D16" s="791"/>
      <c r="E16" s="249"/>
      <c r="F16" s="249"/>
    </row>
    <row r="17" spans="1:2" s="23" customFormat="1" ht="17.25" customHeight="1" x14ac:dyDescent="0.2">
      <c r="A17" s="21"/>
    </row>
    <row r="18" spans="1:2" s="23" customFormat="1" ht="18" customHeight="1" x14ac:dyDescent="0.2">
      <c r="A18" s="42"/>
      <c r="B18" s="25"/>
    </row>
    <row r="19" spans="1:2" s="23" customFormat="1" ht="15" x14ac:dyDescent="0.2">
      <c r="A19" s="42"/>
      <c r="B19" s="206"/>
    </row>
    <row r="20" spans="1:2" s="23" customFormat="1" ht="15" x14ac:dyDescent="0.2">
      <c r="A20" s="42"/>
      <c r="B20" s="206"/>
    </row>
    <row r="21" spans="1:2" s="23" customFormat="1" ht="15" x14ac:dyDescent="0.2">
      <c r="A21" s="206"/>
    </row>
    <row r="22" spans="1:2" s="23" customFormat="1" ht="15" x14ac:dyDescent="0.2">
      <c r="A22" s="792"/>
      <c r="B22" s="793"/>
    </row>
    <row r="23" spans="1:2" s="23" customFormat="1" ht="15" customHeight="1" x14ac:dyDescent="0.2">
      <c r="A23" s="788"/>
      <c r="B23" s="788"/>
    </row>
    <row r="24" spans="1:2" s="23" customFormat="1" ht="15" x14ac:dyDescent="0.2">
      <c r="A24" s="788"/>
      <c r="B24" s="788"/>
    </row>
    <row r="25" spans="1:2" s="23" customFormat="1" ht="15" x14ac:dyDescent="0.2">
      <c r="A25" s="788"/>
      <c r="B25" s="788"/>
    </row>
    <row r="26" spans="1:2" s="23" customFormat="1" ht="15" x14ac:dyDescent="0.2">
      <c r="A26" s="206"/>
      <c r="B26" s="206"/>
    </row>
  </sheetData>
  <mergeCells count="8">
    <mergeCell ref="F1:H1"/>
    <mergeCell ref="F2:H2"/>
    <mergeCell ref="A25:B25"/>
    <mergeCell ref="B7:G7"/>
    <mergeCell ref="B16:D16"/>
    <mergeCell ref="A22:B22"/>
    <mergeCell ref="A23:B23"/>
    <mergeCell ref="A24:B24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8"/>
  <sheetViews>
    <sheetView workbookViewId="0">
      <selection activeCell="S10" sqref="S10:S42"/>
    </sheetView>
  </sheetViews>
  <sheetFormatPr defaultRowHeight="12.75" x14ac:dyDescent="0.2"/>
  <cols>
    <col min="1" max="1" width="21" customWidth="1"/>
    <col min="2" max="2" width="17.42578125" customWidth="1"/>
    <col min="3" max="3" width="15.5703125" customWidth="1"/>
    <col min="4" max="4" width="9" customWidth="1"/>
    <col min="5" max="5" width="13.28515625" customWidth="1"/>
    <col min="6" max="6" width="9.28515625" bestFit="1" customWidth="1"/>
    <col min="7" max="7" width="14.5703125" bestFit="1" customWidth="1"/>
    <col min="8" max="8" width="9.28515625" bestFit="1" customWidth="1"/>
    <col min="9" max="9" width="11.85546875" bestFit="1" customWidth="1"/>
    <col min="10" max="10" width="14.85546875" customWidth="1"/>
    <col min="11" max="11" width="12.28515625" customWidth="1"/>
    <col min="13" max="13" width="12.140625" customWidth="1"/>
    <col min="14" max="14" width="10.85546875" customWidth="1"/>
    <col min="15" max="15" width="11.28515625" customWidth="1"/>
    <col min="16" max="16" width="11.42578125" customWidth="1"/>
    <col min="17" max="17" width="10" customWidth="1"/>
    <col min="18" max="18" width="11.5703125" customWidth="1"/>
    <col min="19" max="19" width="13.42578125" customWidth="1"/>
    <col min="21" max="22" width="0" hidden="1" customWidth="1"/>
  </cols>
  <sheetData>
    <row r="1" spans="1:23" ht="15" x14ac:dyDescent="0.2">
      <c r="Q1" s="801" t="s">
        <v>4577</v>
      </c>
      <c r="R1" s="801"/>
      <c r="S1" s="801"/>
    </row>
    <row r="2" spans="1:23" ht="15" x14ac:dyDescent="0.2">
      <c r="Q2" s="786" t="s">
        <v>4631</v>
      </c>
      <c r="R2" s="786"/>
      <c r="S2" s="786"/>
    </row>
    <row r="3" spans="1:23" ht="14.25" x14ac:dyDescent="0.2">
      <c r="A3" s="552" t="s">
        <v>4188</v>
      </c>
    </row>
    <row r="4" spans="1:23" x14ac:dyDescent="0.2">
      <c r="A4" s="95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</row>
    <row r="5" spans="1:23" x14ac:dyDescent="0.2">
      <c r="A5" s="95"/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</row>
    <row r="6" spans="1:23" s="532" customFormat="1" ht="63.75" x14ac:dyDescent="0.2">
      <c r="A6" s="383" t="s">
        <v>4200</v>
      </c>
      <c r="B6" s="384" t="s">
        <v>4201</v>
      </c>
      <c r="C6" s="384" t="s">
        <v>4202</v>
      </c>
      <c r="D6" s="385" t="s">
        <v>4203</v>
      </c>
      <c r="E6" s="384" t="s">
        <v>4204</v>
      </c>
      <c r="F6" s="386" t="s">
        <v>4205</v>
      </c>
      <c r="G6" s="386" t="s">
        <v>4206</v>
      </c>
      <c r="H6" s="386" t="s">
        <v>4207</v>
      </c>
      <c r="I6" s="386" t="s">
        <v>4208</v>
      </c>
      <c r="J6" s="386" t="s">
        <v>4209</v>
      </c>
      <c r="K6" s="387" t="s">
        <v>4210</v>
      </c>
      <c r="L6" s="431" t="s">
        <v>4599</v>
      </c>
      <c r="M6" s="386" t="s">
        <v>4212</v>
      </c>
      <c r="N6" s="386" t="s">
        <v>4213</v>
      </c>
      <c r="O6" s="386" t="s">
        <v>4214</v>
      </c>
      <c r="P6" s="386" t="s">
        <v>4215</v>
      </c>
      <c r="Q6" s="440" t="s">
        <v>4599</v>
      </c>
      <c r="R6" s="386" t="s">
        <v>4216</v>
      </c>
      <c r="S6" s="386" t="s">
        <v>4217</v>
      </c>
      <c r="T6" s="553"/>
      <c r="U6" s="396" t="s">
        <v>4413</v>
      </c>
    </row>
    <row r="7" spans="1:23" x14ac:dyDescent="0.2">
      <c r="A7" s="390"/>
      <c r="B7" s="391"/>
      <c r="C7" s="391"/>
      <c r="D7" s="392"/>
      <c r="E7" s="393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</row>
    <row r="8" spans="1:23" x14ac:dyDescent="0.2">
      <c r="A8" s="394">
        <v>1</v>
      </c>
      <c r="B8" s="395">
        <v>2</v>
      </c>
      <c r="C8" s="395">
        <v>3</v>
      </c>
      <c r="D8" s="395">
        <v>4</v>
      </c>
      <c r="E8" s="394">
        <v>5</v>
      </c>
      <c r="F8" s="395">
        <v>6</v>
      </c>
      <c r="G8" s="395">
        <v>7</v>
      </c>
      <c r="H8" s="395">
        <v>8</v>
      </c>
      <c r="I8" s="394">
        <v>9</v>
      </c>
      <c r="J8" s="395">
        <v>10</v>
      </c>
      <c r="K8" s="395">
        <v>11</v>
      </c>
      <c r="L8" s="395">
        <v>12</v>
      </c>
      <c r="M8" s="394">
        <v>13</v>
      </c>
      <c r="N8" s="395">
        <v>14</v>
      </c>
      <c r="O8" s="395">
        <v>15</v>
      </c>
      <c r="P8" s="395">
        <v>16</v>
      </c>
      <c r="Q8" s="394">
        <v>17</v>
      </c>
      <c r="R8" s="395">
        <v>18</v>
      </c>
      <c r="S8" s="395">
        <v>19</v>
      </c>
      <c r="T8" s="95"/>
    </row>
    <row r="9" spans="1:23" x14ac:dyDescent="0.2">
      <c r="A9" s="394"/>
      <c r="B9" s="395"/>
      <c r="C9" s="395"/>
      <c r="D9" s="395"/>
      <c r="E9" s="394"/>
      <c r="F9" s="395"/>
      <c r="G9" s="395"/>
      <c r="H9" s="395"/>
      <c r="I9" s="394"/>
      <c r="J9" s="395"/>
      <c r="K9" s="395"/>
      <c r="L9" s="395"/>
      <c r="M9" s="394"/>
      <c r="N9" s="395"/>
      <c r="O9" s="395"/>
      <c r="P9" s="395"/>
      <c r="Q9" s="394"/>
      <c r="R9" s="395"/>
      <c r="S9" s="395"/>
      <c r="T9" s="95"/>
    </row>
    <row r="10" spans="1:23" ht="38.25" x14ac:dyDescent="0.2">
      <c r="A10" s="396" t="s">
        <v>4218</v>
      </c>
      <c r="B10" s="396" t="s">
        <v>4224</v>
      </c>
      <c r="C10" s="396" t="s">
        <v>4220</v>
      </c>
      <c r="D10" s="640">
        <v>1</v>
      </c>
      <c r="E10" s="560">
        <v>28452</v>
      </c>
      <c r="F10" s="399">
        <f>E10*1.1</f>
        <v>31297.200000000001</v>
      </c>
      <c r="G10" s="399"/>
      <c r="H10" s="399"/>
      <c r="I10" s="399"/>
      <c r="J10" s="399">
        <f>E10/70*30</f>
        <v>12193.714285714286</v>
      </c>
      <c r="K10" s="399">
        <f>E10+F10+G10+H10+I10+J10</f>
        <v>71942.914285714287</v>
      </c>
      <c r="L10" s="399">
        <f>IF(D10=0,0,IF(K10&lt;23000,23000-K10,0))</f>
        <v>0</v>
      </c>
      <c r="M10" s="399">
        <f>E10*D10</f>
        <v>28452</v>
      </c>
      <c r="N10" s="399">
        <f>I10*D10</f>
        <v>0</v>
      </c>
      <c r="O10" s="399">
        <f>(F10+G10+H10)*D10</f>
        <v>31297.200000000001</v>
      </c>
      <c r="P10" s="399">
        <f>J10*D10</f>
        <v>12193.714285714286</v>
      </c>
      <c r="Q10" s="399">
        <f>L10*D10</f>
        <v>0</v>
      </c>
      <c r="R10" s="399">
        <f>SUM(M10:Q10)</f>
        <v>71942.914285714287</v>
      </c>
      <c r="S10" s="399">
        <f>R10*12</f>
        <v>863314.9714285715</v>
      </c>
      <c r="T10" s="95"/>
      <c r="U10" s="533">
        <v>25120</v>
      </c>
      <c r="V10" s="165">
        <f>E10-U10</f>
        <v>3332</v>
      </c>
    </row>
    <row r="11" spans="1:23" ht="38.25" hidden="1" x14ac:dyDescent="0.2">
      <c r="A11" s="396" t="s">
        <v>4218</v>
      </c>
      <c r="B11" s="396" t="s">
        <v>4219</v>
      </c>
      <c r="C11" s="396" t="s">
        <v>4220</v>
      </c>
      <c r="D11" s="640">
        <v>0</v>
      </c>
      <c r="E11" s="560">
        <v>27231</v>
      </c>
      <c r="F11" s="399"/>
      <c r="G11" s="399"/>
      <c r="H11" s="399"/>
      <c r="I11" s="399"/>
      <c r="J11" s="399">
        <f t="shared" ref="J11:J74" si="0">E11/70*30</f>
        <v>11670.428571428572</v>
      </c>
      <c r="K11" s="399">
        <f t="shared" ref="K11:K74" si="1">E11+F11+G11+H11+I11+J11</f>
        <v>38901.428571428572</v>
      </c>
      <c r="L11" s="399">
        <f t="shared" ref="L11:L74" si="2">IF(D11=0,0,IF(K11&lt;23000,23000-K11,0))</f>
        <v>0</v>
      </c>
      <c r="M11" s="399">
        <f t="shared" ref="M11:M74" si="3">E11*D11</f>
        <v>0</v>
      </c>
      <c r="N11" s="399">
        <f t="shared" ref="N11:N74" si="4">I11*D11</f>
        <v>0</v>
      </c>
      <c r="O11" s="399">
        <f t="shared" ref="O11:O74" si="5">(F11+G11+H11)*D11</f>
        <v>0</v>
      </c>
      <c r="P11" s="399">
        <f t="shared" ref="P11:P74" si="6">J11*D11</f>
        <v>0</v>
      </c>
      <c r="Q11" s="399">
        <f t="shared" ref="Q11:Q74" si="7">L11*D11</f>
        <v>0</v>
      </c>
      <c r="R11" s="399">
        <f t="shared" ref="R11:R74" si="8">SUM(M11:Q11)</f>
        <v>0</v>
      </c>
      <c r="S11" s="399">
        <f t="shared" ref="S11:S74" si="9">R11*12</f>
        <v>0</v>
      </c>
      <c r="T11" s="95"/>
      <c r="U11" s="533">
        <v>23828</v>
      </c>
      <c r="V11" s="165">
        <f t="shared" ref="V11:V42" si="10">E11-U11</f>
        <v>3403</v>
      </c>
    </row>
    <row r="12" spans="1:23" ht="38.25" hidden="1" x14ac:dyDescent="0.2">
      <c r="A12" s="396" t="s">
        <v>4218</v>
      </c>
      <c r="B12" s="396" t="s">
        <v>4224</v>
      </c>
      <c r="C12" s="396" t="s">
        <v>4615</v>
      </c>
      <c r="D12" s="640">
        <v>0</v>
      </c>
      <c r="E12" s="560">
        <v>0</v>
      </c>
      <c r="F12" s="399"/>
      <c r="G12" s="399"/>
      <c r="H12" s="399"/>
      <c r="I12" s="399"/>
      <c r="J12" s="399">
        <f t="shared" si="0"/>
        <v>0</v>
      </c>
      <c r="K12" s="399">
        <f t="shared" si="1"/>
        <v>0</v>
      </c>
      <c r="L12" s="399">
        <f t="shared" si="2"/>
        <v>0</v>
      </c>
      <c r="M12" s="399">
        <f t="shared" si="3"/>
        <v>0</v>
      </c>
      <c r="N12" s="399">
        <f t="shared" si="4"/>
        <v>0</v>
      </c>
      <c r="O12" s="399">
        <f t="shared" si="5"/>
        <v>0</v>
      </c>
      <c r="P12" s="399">
        <f t="shared" si="6"/>
        <v>0</v>
      </c>
      <c r="Q12" s="399">
        <f t="shared" si="7"/>
        <v>0</v>
      </c>
      <c r="R12" s="399">
        <f t="shared" si="8"/>
        <v>0</v>
      </c>
      <c r="S12" s="399">
        <f t="shared" si="9"/>
        <v>0</v>
      </c>
      <c r="T12" s="95"/>
      <c r="U12" s="533">
        <v>24965</v>
      </c>
      <c r="V12" s="165">
        <f t="shared" si="10"/>
        <v>-24965</v>
      </c>
    </row>
    <row r="13" spans="1:23" ht="38.25" hidden="1" x14ac:dyDescent="0.2">
      <c r="A13" s="396" t="s">
        <v>4218</v>
      </c>
      <c r="B13" s="396" t="s">
        <v>4219</v>
      </c>
      <c r="C13" s="396" t="s">
        <v>4615</v>
      </c>
      <c r="D13" s="640">
        <v>0</v>
      </c>
      <c r="E13" s="560">
        <v>0</v>
      </c>
      <c r="F13" s="399"/>
      <c r="G13" s="399"/>
      <c r="H13" s="399"/>
      <c r="I13" s="399"/>
      <c r="J13" s="399">
        <f t="shared" si="0"/>
        <v>0</v>
      </c>
      <c r="K13" s="399">
        <f t="shared" si="1"/>
        <v>0</v>
      </c>
      <c r="L13" s="399">
        <f t="shared" si="2"/>
        <v>0</v>
      </c>
      <c r="M13" s="399">
        <f t="shared" si="3"/>
        <v>0</v>
      </c>
      <c r="N13" s="399">
        <f t="shared" si="4"/>
        <v>0</v>
      </c>
      <c r="O13" s="399">
        <f t="shared" si="5"/>
        <v>0</v>
      </c>
      <c r="P13" s="399">
        <f t="shared" si="6"/>
        <v>0</v>
      </c>
      <c r="Q13" s="399">
        <f t="shared" si="7"/>
        <v>0</v>
      </c>
      <c r="R13" s="399">
        <f t="shared" si="8"/>
        <v>0</v>
      </c>
      <c r="S13" s="399">
        <f t="shared" si="9"/>
        <v>0</v>
      </c>
      <c r="T13" s="95"/>
      <c r="U13" s="533">
        <v>24954</v>
      </c>
      <c r="V13" s="165">
        <f t="shared" si="10"/>
        <v>-24954</v>
      </c>
    </row>
    <row r="14" spans="1:23" ht="38.25" hidden="1" x14ac:dyDescent="0.2">
      <c r="A14" s="396" t="s">
        <v>4218</v>
      </c>
      <c r="B14" s="396" t="s">
        <v>4224</v>
      </c>
      <c r="C14" s="396" t="s">
        <v>4226</v>
      </c>
      <c r="D14" s="640">
        <v>0</v>
      </c>
      <c r="E14" s="560">
        <v>0</v>
      </c>
      <c r="F14" s="399"/>
      <c r="G14" s="399"/>
      <c r="H14" s="399"/>
      <c r="I14" s="399"/>
      <c r="J14" s="399">
        <f t="shared" si="0"/>
        <v>0</v>
      </c>
      <c r="K14" s="399">
        <f t="shared" si="1"/>
        <v>0</v>
      </c>
      <c r="L14" s="399">
        <f t="shared" si="2"/>
        <v>0</v>
      </c>
      <c r="M14" s="399">
        <f t="shared" si="3"/>
        <v>0</v>
      </c>
      <c r="N14" s="399">
        <f t="shared" si="4"/>
        <v>0</v>
      </c>
      <c r="O14" s="399">
        <f t="shared" si="5"/>
        <v>0</v>
      </c>
      <c r="P14" s="399">
        <f t="shared" si="6"/>
        <v>0</v>
      </c>
      <c r="Q14" s="399">
        <f t="shared" si="7"/>
        <v>0</v>
      </c>
      <c r="R14" s="399">
        <f t="shared" si="8"/>
        <v>0</v>
      </c>
      <c r="S14" s="399">
        <f t="shared" si="9"/>
        <v>0</v>
      </c>
      <c r="T14" s="95"/>
      <c r="U14" s="533">
        <v>22701</v>
      </c>
      <c r="V14" s="165">
        <f t="shared" si="10"/>
        <v>-22701</v>
      </c>
    </row>
    <row r="15" spans="1:23" ht="38.25" hidden="1" x14ac:dyDescent="0.2">
      <c r="A15" s="396" t="s">
        <v>4218</v>
      </c>
      <c r="B15" s="396" t="s">
        <v>4219</v>
      </c>
      <c r="C15" s="396" t="s">
        <v>4226</v>
      </c>
      <c r="D15" s="640">
        <v>0</v>
      </c>
      <c r="E15" s="560">
        <v>0</v>
      </c>
      <c r="F15" s="399"/>
      <c r="G15" s="399"/>
      <c r="H15" s="399"/>
      <c r="I15" s="399"/>
      <c r="J15" s="399">
        <f t="shared" si="0"/>
        <v>0</v>
      </c>
      <c r="K15" s="399">
        <f t="shared" si="1"/>
        <v>0</v>
      </c>
      <c r="L15" s="399">
        <f t="shared" si="2"/>
        <v>0</v>
      </c>
      <c r="M15" s="399">
        <f t="shared" si="3"/>
        <v>0</v>
      </c>
      <c r="N15" s="399">
        <f t="shared" si="4"/>
        <v>0</v>
      </c>
      <c r="O15" s="399">
        <f t="shared" si="5"/>
        <v>0</v>
      </c>
      <c r="P15" s="399">
        <f t="shared" si="6"/>
        <v>0</v>
      </c>
      <c r="Q15" s="399">
        <f t="shared" si="7"/>
        <v>0</v>
      </c>
      <c r="R15" s="399">
        <f t="shared" si="8"/>
        <v>0</v>
      </c>
      <c r="S15" s="399">
        <f t="shared" si="9"/>
        <v>0</v>
      </c>
      <c r="T15" s="95"/>
      <c r="U15" s="533">
        <v>16805</v>
      </c>
      <c r="V15" s="165">
        <f t="shared" si="10"/>
        <v>-16805</v>
      </c>
      <c r="W15" s="534"/>
    </row>
    <row r="16" spans="1:23" ht="38.25" hidden="1" x14ac:dyDescent="0.2">
      <c r="A16" s="396" t="s">
        <v>4218</v>
      </c>
      <c r="B16" s="396" t="s">
        <v>4224</v>
      </c>
      <c r="C16" s="396" t="s">
        <v>4616</v>
      </c>
      <c r="D16" s="640">
        <v>0</v>
      </c>
      <c r="E16" s="560">
        <v>0</v>
      </c>
      <c r="F16" s="399"/>
      <c r="G16" s="399"/>
      <c r="H16" s="399"/>
      <c r="I16" s="399"/>
      <c r="J16" s="399">
        <f t="shared" si="0"/>
        <v>0</v>
      </c>
      <c r="K16" s="399">
        <f t="shared" si="1"/>
        <v>0</v>
      </c>
      <c r="L16" s="399">
        <f t="shared" si="2"/>
        <v>0</v>
      </c>
      <c r="M16" s="399">
        <f t="shared" si="3"/>
        <v>0</v>
      </c>
      <c r="N16" s="399">
        <f t="shared" si="4"/>
        <v>0</v>
      </c>
      <c r="O16" s="399">
        <f t="shared" si="5"/>
        <v>0</v>
      </c>
      <c r="P16" s="399">
        <f t="shared" si="6"/>
        <v>0</v>
      </c>
      <c r="Q16" s="399">
        <f t="shared" si="7"/>
        <v>0</v>
      </c>
      <c r="R16" s="399">
        <f t="shared" si="8"/>
        <v>0</v>
      </c>
      <c r="S16" s="399">
        <f t="shared" si="9"/>
        <v>0</v>
      </c>
      <c r="T16" s="95"/>
      <c r="U16" s="533">
        <v>20357</v>
      </c>
      <c r="V16" s="165">
        <f t="shared" si="10"/>
        <v>-20357</v>
      </c>
    </row>
    <row r="17" spans="1:22" ht="38.25" hidden="1" x14ac:dyDescent="0.2">
      <c r="A17" s="396" t="s">
        <v>4218</v>
      </c>
      <c r="B17" s="396" t="s">
        <v>4219</v>
      </c>
      <c r="C17" s="396" t="s">
        <v>4616</v>
      </c>
      <c r="D17" s="640">
        <v>0</v>
      </c>
      <c r="E17" s="560">
        <v>0</v>
      </c>
      <c r="F17" s="399"/>
      <c r="G17" s="399"/>
      <c r="H17" s="399"/>
      <c r="I17" s="399"/>
      <c r="J17" s="399">
        <f t="shared" si="0"/>
        <v>0</v>
      </c>
      <c r="K17" s="399">
        <f t="shared" si="1"/>
        <v>0</v>
      </c>
      <c r="L17" s="399">
        <f t="shared" si="2"/>
        <v>0</v>
      </c>
      <c r="M17" s="399">
        <f t="shared" si="3"/>
        <v>0</v>
      </c>
      <c r="N17" s="399">
        <f t="shared" si="4"/>
        <v>0</v>
      </c>
      <c r="O17" s="399">
        <f t="shared" si="5"/>
        <v>0</v>
      </c>
      <c r="P17" s="399">
        <f t="shared" si="6"/>
        <v>0</v>
      </c>
      <c r="Q17" s="399">
        <f t="shared" si="7"/>
        <v>0</v>
      </c>
      <c r="R17" s="399">
        <f t="shared" si="8"/>
        <v>0</v>
      </c>
      <c r="S17" s="399">
        <f t="shared" si="9"/>
        <v>0</v>
      </c>
      <c r="T17" s="95"/>
      <c r="U17" s="533">
        <v>20896</v>
      </c>
      <c r="V17" s="165">
        <f t="shared" si="10"/>
        <v>-20896</v>
      </c>
    </row>
    <row r="18" spans="1:22" ht="38.25" hidden="1" x14ac:dyDescent="0.2">
      <c r="A18" s="396" t="s">
        <v>4221</v>
      </c>
      <c r="B18" s="396" t="s">
        <v>4224</v>
      </c>
      <c r="C18" s="396" t="s">
        <v>4220</v>
      </c>
      <c r="D18" s="640">
        <v>0</v>
      </c>
      <c r="E18" s="560">
        <v>27051</v>
      </c>
      <c r="F18" s="399"/>
      <c r="G18" s="399"/>
      <c r="H18" s="399"/>
      <c r="I18" s="399"/>
      <c r="J18" s="399">
        <f t="shared" si="0"/>
        <v>11593.285714285714</v>
      </c>
      <c r="K18" s="399">
        <f t="shared" si="1"/>
        <v>38644.28571428571</v>
      </c>
      <c r="L18" s="399">
        <f t="shared" si="2"/>
        <v>0</v>
      </c>
      <c r="M18" s="399">
        <f t="shared" si="3"/>
        <v>0</v>
      </c>
      <c r="N18" s="399">
        <f t="shared" si="4"/>
        <v>0</v>
      </c>
      <c r="O18" s="399">
        <f t="shared" si="5"/>
        <v>0</v>
      </c>
      <c r="P18" s="399">
        <f t="shared" si="6"/>
        <v>0</v>
      </c>
      <c r="Q18" s="399">
        <f t="shared" si="7"/>
        <v>0</v>
      </c>
      <c r="R18" s="399">
        <f t="shared" si="8"/>
        <v>0</v>
      </c>
      <c r="S18" s="399">
        <f t="shared" si="9"/>
        <v>0</v>
      </c>
      <c r="T18" s="95"/>
      <c r="U18" s="533">
        <v>15967</v>
      </c>
      <c r="V18" s="165">
        <f t="shared" si="10"/>
        <v>11084</v>
      </c>
    </row>
    <row r="19" spans="1:22" ht="38.25" x14ac:dyDescent="0.2">
      <c r="A19" s="396" t="s">
        <v>4221</v>
      </c>
      <c r="B19" s="396" t="s">
        <v>4219</v>
      </c>
      <c r="C19" s="396" t="s">
        <v>4220</v>
      </c>
      <c r="D19" s="640">
        <v>4</v>
      </c>
      <c r="E19" s="560">
        <v>25830</v>
      </c>
      <c r="F19" s="399"/>
      <c r="G19" s="399"/>
      <c r="H19" s="399"/>
      <c r="I19" s="399"/>
      <c r="J19" s="399">
        <f t="shared" si="0"/>
        <v>11070</v>
      </c>
      <c r="K19" s="399">
        <f t="shared" si="1"/>
        <v>36900</v>
      </c>
      <c r="L19" s="399">
        <f t="shared" si="2"/>
        <v>0</v>
      </c>
      <c r="M19" s="399">
        <f t="shared" si="3"/>
        <v>103320</v>
      </c>
      <c r="N19" s="399">
        <f t="shared" si="4"/>
        <v>0</v>
      </c>
      <c r="O19" s="399">
        <f t="shared" si="5"/>
        <v>0</v>
      </c>
      <c r="P19" s="399">
        <f t="shared" si="6"/>
        <v>44280</v>
      </c>
      <c r="Q19" s="399">
        <f t="shared" si="7"/>
        <v>0</v>
      </c>
      <c r="R19" s="399">
        <f t="shared" si="8"/>
        <v>147600</v>
      </c>
      <c r="S19" s="399">
        <f t="shared" si="9"/>
        <v>1771200</v>
      </c>
      <c r="T19" s="95"/>
      <c r="U19" s="533">
        <v>15444</v>
      </c>
      <c r="V19" s="165">
        <f t="shared" si="10"/>
        <v>10386</v>
      </c>
    </row>
    <row r="20" spans="1:22" ht="38.25" hidden="1" x14ac:dyDescent="0.2">
      <c r="A20" s="396" t="s">
        <v>4221</v>
      </c>
      <c r="B20" s="396" t="s">
        <v>4224</v>
      </c>
      <c r="C20" s="396" t="s">
        <v>4615</v>
      </c>
      <c r="D20" s="640">
        <v>0</v>
      </c>
      <c r="E20" s="560">
        <v>0</v>
      </c>
      <c r="F20" s="399"/>
      <c r="G20" s="399"/>
      <c r="H20" s="399"/>
      <c r="I20" s="399"/>
      <c r="J20" s="399">
        <f t="shared" si="0"/>
        <v>0</v>
      </c>
      <c r="K20" s="399">
        <f t="shared" si="1"/>
        <v>0</v>
      </c>
      <c r="L20" s="399">
        <f t="shared" si="2"/>
        <v>0</v>
      </c>
      <c r="M20" s="399">
        <f t="shared" si="3"/>
        <v>0</v>
      </c>
      <c r="N20" s="399">
        <f t="shared" si="4"/>
        <v>0</v>
      </c>
      <c r="O20" s="399">
        <f t="shared" si="5"/>
        <v>0</v>
      </c>
      <c r="P20" s="399">
        <f t="shared" si="6"/>
        <v>0</v>
      </c>
      <c r="Q20" s="399">
        <f t="shared" si="7"/>
        <v>0</v>
      </c>
      <c r="R20" s="399">
        <f t="shared" si="8"/>
        <v>0</v>
      </c>
      <c r="S20" s="399">
        <f t="shared" si="9"/>
        <v>0</v>
      </c>
      <c r="T20" s="95"/>
      <c r="U20" s="533">
        <v>24442</v>
      </c>
      <c r="V20" s="165">
        <f t="shared" si="10"/>
        <v>-24442</v>
      </c>
    </row>
    <row r="21" spans="1:22" ht="38.25" hidden="1" x14ac:dyDescent="0.2">
      <c r="A21" s="396" t="s">
        <v>4221</v>
      </c>
      <c r="B21" s="396" t="s">
        <v>4219</v>
      </c>
      <c r="C21" s="396" t="s">
        <v>4615</v>
      </c>
      <c r="D21" s="640">
        <v>0</v>
      </c>
      <c r="E21" s="560">
        <v>0</v>
      </c>
      <c r="F21" s="399"/>
      <c r="G21" s="399"/>
      <c r="H21" s="399"/>
      <c r="I21" s="399"/>
      <c r="J21" s="399">
        <f t="shared" si="0"/>
        <v>0</v>
      </c>
      <c r="K21" s="399">
        <f t="shared" si="1"/>
        <v>0</v>
      </c>
      <c r="L21" s="399">
        <f t="shared" si="2"/>
        <v>0</v>
      </c>
      <c r="M21" s="399">
        <f t="shared" si="3"/>
        <v>0</v>
      </c>
      <c r="N21" s="399">
        <f t="shared" si="4"/>
        <v>0</v>
      </c>
      <c r="O21" s="399">
        <f t="shared" si="5"/>
        <v>0</v>
      </c>
      <c r="P21" s="399">
        <f t="shared" si="6"/>
        <v>0</v>
      </c>
      <c r="Q21" s="399">
        <f t="shared" si="7"/>
        <v>0</v>
      </c>
      <c r="R21" s="399">
        <f t="shared" si="8"/>
        <v>0</v>
      </c>
      <c r="S21" s="399">
        <f t="shared" si="9"/>
        <v>0</v>
      </c>
      <c r="T21" s="95"/>
      <c r="U21" s="533">
        <v>26070</v>
      </c>
      <c r="V21" s="165">
        <f t="shared" si="10"/>
        <v>-26070</v>
      </c>
    </row>
    <row r="22" spans="1:22" ht="38.25" hidden="1" x14ac:dyDescent="0.2">
      <c r="A22" s="396" t="s">
        <v>4221</v>
      </c>
      <c r="B22" s="396" t="s">
        <v>4224</v>
      </c>
      <c r="C22" s="396" t="s">
        <v>4226</v>
      </c>
      <c r="D22" s="640">
        <v>0</v>
      </c>
      <c r="E22" s="560">
        <v>0</v>
      </c>
      <c r="F22" s="399"/>
      <c r="G22" s="399"/>
      <c r="H22" s="399"/>
      <c r="I22" s="399"/>
      <c r="J22" s="399">
        <f t="shared" si="0"/>
        <v>0</v>
      </c>
      <c r="K22" s="399">
        <f t="shared" si="1"/>
        <v>0</v>
      </c>
      <c r="L22" s="399">
        <f t="shared" si="2"/>
        <v>0</v>
      </c>
      <c r="M22" s="399">
        <f t="shared" si="3"/>
        <v>0</v>
      </c>
      <c r="N22" s="399">
        <f t="shared" si="4"/>
        <v>0</v>
      </c>
      <c r="O22" s="399">
        <f t="shared" si="5"/>
        <v>0</v>
      </c>
      <c r="P22" s="399">
        <f t="shared" si="6"/>
        <v>0</v>
      </c>
      <c r="Q22" s="399">
        <f t="shared" si="7"/>
        <v>0</v>
      </c>
      <c r="R22" s="399">
        <f t="shared" si="8"/>
        <v>0</v>
      </c>
      <c r="S22" s="399">
        <f t="shared" si="9"/>
        <v>0</v>
      </c>
      <c r="T22" s="95"/>
      <c r="U22" s="533">
        <v>16811</v>
      </c>
      <c r="V22" s="165">
        <f t="shared" si="10"/>
        <v>-16811</v>
      </c>
    </row>
    <row r="23" spans="1:22" ht="38.25" hidden="1" x14ac:dyDescent="0.2">
      <c r="A23" s="396" t="s">
        <v>4221</v>
      </c>
      <c r="B23" s="396" t="s">
        <v>4219</v>
      </c>
      <c r="C23" s="396" t="s">
        <v>4226</v>
      </c>
      <c r="D23" s="640">
        <v>0</v>
      </c>
      <c r="E23" s="560">
        <v>0</v>
      </c>
      <c r="F23" s="399"/>
      <c r="G23" s="399"/>
      <c r="H23" s="399"/>
      <c r="I23" s="399"/>
      <c r="J23" s="399">
        <f t="shared" si="0"/>
        <v>0</v>
      </c>
      <c r="K23" s="399">
        <f t="shared" si="1"/>
        <v>0</v>
      </c>
      <c r="L23" s="399">
        <f t="shared" si="2"/>
        <v>0</v>
      </c>
      <c r="M23" s="399">
        <f t="shared" si="3"/>
        <v>0</v>
      </c>
      <c r="N23" s="399">
        <f t="shared" si="4"/>
        <v>0</v>
      </c>
      <c r="O23" s="399">
        <f t="shared" si="5"/>
        <v>0</v>
      </c>
      <c r="P23" s="399">
        <f t="shared" si="6"/>
        <v>0</v>
      </c>
      <c r="Q23" s="399">
        <f t="shared" si="7"/>
        <v>0</v>
      </c>
      <c r="R23" s="399">
        <f t="shared" si="8"/>
        <v>0</v>
      </c>
      <c r="S23" s="399">
        <f t="shared" si="9"/>
        <v>0</v>
      </c>
      <c r="T23" s="95"/>
      <c r="U23" s="533">
        <v>20907</v>
      </c>
      <c r="V23" s="165">
        <f t="shared" si="10"/>
        <v>-20907</v>
      </c>
    </row>
    <row r="24" spans="1:22" ht="38.25" hidden="1" x14ac:dyDescent="0.2">
      <c r="A24" s="396" t="s">
        <v>4221</v>
      </c>
      <c r="B24" s="396" t="s">
        <v>4224</v>
      </c>
      <c r="C24" s="396" t="s">
        <v>4616</v>
      </c>
      <c r="D24" s="640">
        <v>0</v>
      </c>
      <c r="E24" s="560">
        <v>0</v>
      </c>
      <c r="F24" s="399"/>
      <c r="G24" s="399"/>
      <c r="H24" s="399"/>
      <c r="I24" s="399"/>
      <c r="J24" s="399">
        <f t="shared" si="0"/>
        <v>0</v>
      </c>
      <c r="K24" s="399">
        <f t="shared" si="1"/>
        <v>0</v>
      </c>
      <c r="L24" s="399">
        <f t="shared" si="2"/>
        <v>0</v>
      </c>
      <c r="M24" s="399">
        <f t="shared" si="3"/>
        <v>0</v>
      </c>
      <c r="N24" s="399">
        <f t="shared" si="4"/>
        <v>0</v>
      </c>
      <c r="O24" s="399">
        <f t="shared" si="5"/>
        <v>0</v>
      </c>
      <c r="P24" s="399">
        <f t="shared" si="6"/>
        <v>0</v>
      </c>
      <c r="Q24" s="399">
        <f t="shared" si="7"/>
        <v>0</v>
      </c>
      <c r="R24" s="399">
        <f t="shared" si="8"/>
        <v>0</v>
      </c>
      <c r="S24" s="399">
        <f t="shared" si="9"/>
        <v>0</v>
      </c>
      <c r="T24" s="95"/>
      <c r="U24" s="533">
        <v>15438</v>
      </c>
      <c r="V24" s="165">
        <f t="shared" si="10"/>
        <v>-15438</v>
      </c>
    </row>
    <row r="25" spans="1:22" ht="38.25" hidden="1" x14ac:dyDescent="0.2">
      <c r="A25" s="396" t="s">
        <v>4221</v>
      </c>
      <c r="B25" s="396" t="s">
        <v>4219</v>
      </c>
      <c r="C25" s="396" t="s">
        <v>4616</v>
      </c>
      <c r="D25" s="640">
        <v>0</v>
      </c>
      <c r="E25" s="560">
        <v>0</v>
      </c>
      <c r="F25" s="399"/>
      <c r="G25" s="399"/>
      <c r="H25" s="399"/>
      <c r="I25" s="399"/>
      <c r="J25" s="399">
        <f t="shared" si="0"/>
        <v>0</v>
      </c>
      <c r="K25" s="399">
        <f t="shared" si="1"/>
        <v>0</v>
      </c>
      <c r="L25" s="399">
        <f t="shared" si="2"/>
        <v>0</v>
      </c>
      <c r="M25" s="399">
        <f t="shared" si="3"/>
        <v>0</v>
      </c>
      <c r="N25" s="399">
        <f t="shared" si="4"/>
        <v>0</v>
      </c>
      <c r="O25" s="399">
        <f t="shared" si="5"/>
        <v>0</v>
      </c>
      <c r="P25" s="399">
        <f t="shared" si="6"/>
        <v>0</v>
      </c>
      <c r="Q25" s="399">
        <f t="shared" si="7"/>
        <v>0</v>
      </c>
      <c r="R25" s="399">
        <f t="shared" si="8"/>
        <v>0</v>
      </c>
      <c r="S25" s="399">
        <f t="shared" si="9"/>
        <v>0</v>
      </c>
      <c r="T25" s="95"/>
      <c r="U25" s="533">
        <v>24452</v>
      </c>
      <c r="V25" s="165">
        <f t="shared" si="10"/>
        <v>-24452</v>
      </c>
    </row>
    <row r="26" spans="1:22" ht="38.25" hidden="1" x14ac:dyDescent="0.2">
      <c r="A26" s="396" t="s">
        <v>4612</v>
      </c>
      <c r="B26" s="396" t="s">
        <v>4224</v>
      </c>
      <c r="C26" s="396" t="s">
        <v>4220</v>
      </c>
      <c r="D26" s="640">
        <v>0</v>
      </c>
      <c r="E26" s="560">
        <v>28411</v>
      </c>
      <c r="F26" s="399"/>
      <c r="G26" s="399"/>
      <c r="H26" s="399"/>
      <c r="I26" s="399"/>
      <c r="J26" s="399">
        <f t="shared" si="0"/>
        <v>12176.142857142857</v>
      </c>
      <c r="K26" s="399">
        <f t="shared" si="1"/>
        <v>40587.142857142855</v>
      </c>
      <c r="L26" s="399">
        <f t="shared" si="2"/>
        <v>0</v>
      </c>
      <c r="M26" s="399">
        <f t="shared" si="3"/>
        <v>0</v>
      </c>
      <c r="N26" s="399">
        <f t="shared" si="4"/>
        <v>0</v>
      </c>
      <c r="O26" s="399">
        <f t="shared" si="5"/>
        <v>0</v>
      </c>
      <c r="P26" s="399">
        <f t="shared" si="6"/>
        <v>0</v>
      </c>
      <c r="Q26" s="399">
        <f t="shared" si="7"/>
        <v>0</v>
      </c>
      <c r="R26" s="399">
        <f t="shared" si="8"/>
        <v>0</v>
      </c>
      <c r="S26" s="399">
        <f t="shared" si="9"/>
        <v>0</v>
      </c>
      <c r="T26" s="95"/>
      <c r="U26" s="533">
        <v>26092</v>
      </c>
      <c r="V26" s="165">
        <f t="shared" si="10"/>
        <v>2319</v>
      </c>
    </row>
    <row r="27" spans="1:22" ht="38.25" x14ac:dyDescent="0.2">
      <c r="A27" s="396" t="s">
        <v>4612</v>
      </c>
      <c r="B27" s="396" t="s">
        <v>4219</v>
      </c>
      <c r="C27" s="396" t="s">
        <v>4220</v>
      </c>
      <c r="D27" s="640">
        <v>2.5</v>
      </c>
      <c r="E27" s="560">
        <v>27063</v>
      </c>
      <c r="F27" s="399"/>
      <c r="G27" s="399"/>
      <c r="H27" s="399"/>
      <c r="I27" s="399"/>
      <c r="J27" s="399">
        <f t="shared" si="0"/>
        <v>11598.428571428571</v>
      </c>
      <c r="K27" s="399">
        <f t="shared" si="1"/>
        <v>38661.428571428572</v>
      </c>
      <c r="L27" s="399">
        <f t="shared" si="2"/>
        <v>0</v>
      </c>
      <c r="M27" s="399">
        <f t="shared" si="3"/>
        <v>67657.5</v>
      </c>
      <c r="N27" s="399">
        <f t="shared" si="4"/>
        <v>0</v>
      </c>
      <c r="O27" s="399">
        <f t="shared" si="5"/>
        <v>0</v>
      </c>
      <c r="P27" s="399">
        <f t="shared" si="6"/>
        <v>28996.071428571428</v>
      </c>
      <c r="Q27" s="399">
        <f t="shared" si="7"/>
        <v>0</v>
      </c>
      <c r="R27" s="399">
        <f t="shared" si="8"/>
        <v>96653.57142857142</v>
      </c>
      <c r="S27" s="399">
        <f t="shared" si="9"/>
        <v>1159842.857142857</v>
      </c>
      <c r="T27" s="95"/>
      <c r="U27" s="533">
        <v>20025</v>
      </c>
      <c r="V27" s="165">
        <f t="shared" si="10"/>
        <v>7038</v>
      </c>
    </row>
    <row r="28" spans="1:22" ht="38.25" hidden="1" x14ac:dyDescent="0.2">
      <c r="A28" s="396" t="s">
        <v>4612</v>
      </c>
      <c r="B28" s="396" t="s">
        <v>4224</v>
      </c>
      <c r="C28" s="396" t="s">
        <v>4615</v>
      </c>
      <c r="D28" s="640">
        <v>0</v>
      </c>
      <c r="E28" s="560">
        <v>0</v>
      </c>
      <c r="F28" s="399"/>
      <c r="G28" s="399"/>
      <c r="H28" s="399"/>
      <c r="I28" s="399"/>
      <c r="J28" s="399">
        <f t="shared" si="0"/>
        <v>0</v>
      </c>
      <c r="K28" s="399">
        <f t="shared" si="1"/>
        <v>0</v>
      </c>
      <c r="L28" s="399">
        <f t="shared" si="2"/>
        <v>0</v>
      </c>
      <c r="M28" s="399">
        <f t="shared" si="3"/>
        <v>0</v>
      </c>
      <c r="N28" s="399">
        <f t="shared" si="4"/>
        <v>0</v>
      </c>
      <c r="O28" s="399">
        <f t="shared" si="5"/>
        <v>0</v>
      </c>
      <c r="P28" s="399">
        <f t="shared" si="6"/>
        <v>0</v>
      </c>
      <c r="Q28" s="399">
        <f t="shared" si="7"/>
        <v>0</v>
      </c>
      <c r="R28" s="399">
        <f t="shared" si="8"/>
        <v>0</v>
      </c>
      <c r="S28" s="399">
        <f t="shared" si="9"/>
        <v>0</v>
      </c>
      <c r="T28" s="95"/>
      <c r="U28" s="533">
        <v>19502</v>
      </c>
      <c r="V28" s="165">
        <f t="shared" si="10"/>
        <v>-19502</v>
      </c>
    </row>
    <row r="29" spans="1:22" ht="38.25" hidden="1" x14ac:dyDescent="0.2">
      <c r="A29" s="396" t="s">
        <v>4612</v>
      </c>
      <c r="B29" s="396" t="s">
        <v>4219</v>
      </c>
      <c r="C29" s="396" t="s">
        <v>4615</v>
      </c>
      <c r="D29" s="640">
        <v>0</v>
      </c>
      <c r="E29" s="560">
        <v>0</v>
      </c>
      <c r="F29" s="399"/>
      <c r="G29" s="399"/>
      <c r="H29" s="399"/>
      <c r="I29" s="399"/>
      <c r="J29" s="399">
        <f t="shared" si="0"/>
        <v>0</v>
      </c>
      <c r="K29" s="399">
        <f t="shared" si="1"/>
        <v>0</v>
      </c>
      <c r="L29" s="399">
        <f t="shared" si="2"/>
        <v>0</v>
      </c>
      <c r="M29" s="399">
        <f t="shared" si="3"/>
        <v>0</v>
      </c>
      <c r="N29" s="399">
        <f t="shared" si="4"/>
        <v>0</v>
      </c>
      <c r="O29" s="399">
        <f t="shared" si="5"/>
        <v>0</v>
      </c>
      <c r="P29" s="399">
        <f t="shared" si="6"/>
        <v>0</v>
      </c>
      <c r="Q29" s="399">
        <f t="shared" si="7"/>
        <v>0</v>
      </c>
      <c r="R29" s="399">
        <f t="shared" si="8"/>
        <v>0</v>
      </c>
      <c r="S29" s="399">
        <f t="shared" si="9"/>
        <v>0</v>
      </c>
      <c r="T29" s="95"/>
      <c r="U29" s="533">
        <v>16113</v>
      </c>
      <c r="V29" s="165">
        <f t="shared" si="10"/>
        <v>-16113</v>
      </c>
    </row>
    <row r="30" spans="1:22" ht="38.25" hidden="1" x14ac:dyDescent="0.2">
      <c r="A30" s="396" t="s">
        <v>4612</v>
      </c>
      <c r="B30" s="396" t="s">
        <v>4224</v>
      </c>
      <c r="C30" s="396" t="s">
        <v>4226</v>
      </c>
      <c r="D30" s="640">
        <v>0</v>
      </c>
      <c r="E30" s="560">
        <v>0</v>
      </c>
      <c r="F30" s="399"/>
      <c r="G30" s="399"/>
      <c r="H30" s="399"/>
      <c r="I30" s="399"/>
      <c r="J30" s="399">
        <f t="shared" si="0"/>
        <v>0</v>
      </c>
      <c r="K30" s="399">
        <f t="shared" si="1"/>
        <v>0</v>
      </c>
      <c r="L30" s="399">
        <f t="shared" si="2"/>
        <v>0</v>
      </c>
      <c r="M30" s="399">
        <f t="shared" si="3"/>
        <v>0</v>
      </c>
      <c r="N30" s="399">
        <f t="shared" si="4"/>
        <v>0</v>
      </c>
      <c r="O30" s="399">
        <f t="shared" si="5"/>
        <v>0</v>
      </c>
      <c r="P30" s="399">
        <f t="shared" si="6"/>
        <v>0</v>
      </c>
      <c r="Q30" s="399">
        <f t="shared" si="7"/>
        <v>0</v>
      </c>
      <c r="R30" s="399">
        <f t="shared" si="8"/>
        <v>0</v>
      </c>
      <c r="S30" s="399">
        <f t="shared" si="9"/>
        <v>0</v>
      </c>
      <c r="T30" s="95"/>
      <c r="U30" s="533">
        <v>23444</v>
      </c>
      <c r="V30" s="165">
        <f t="shared" si="10"/>
        <v>-23444</v>
      </c>
    </row>
    <row r="31" spans="1:22" ht="38.25" hidden="1" x14ac:dyDescent="0.2">
      <c r="A31" s="396" t="s">
        <v>4612</v>
      </c>
      <c r="B31" s="396" t="s">
        <v>4219</v>
      </c>
      <c r="C31" s="396" t="s">
        <v>4226</v>
      </c>
      <c r="D31" s="640">
        <v>0</v>
      </c>
      <c r="E31" s="560">
        <v>0</v>
      </c>
      <c r="F31" s="399"/>
      <c r="G31" s="399"/>
      <c r="H31" s="399"/>
      <c r="I31" s="399"/>
      <c r="J31" s="399">
        <f t="shared" si="0"/>
        <v>0</v>
      </c>
      <c r="K31" s="399">
        <f t="shared" si="1"/>
        <v>0</v>
      </c>
      <c r="L31" s="399">
        <f t="shared" si="2"/>
        <v>0</v>
      </c>
      <c r="M31" s="399">
        <f t="shared" si="3"/>
        <v>0</v>
      </c>
      <c r="N31" s="399">
        <f t="shared" si="4"/>
        <v>0</v>
      </c>
      <c r="O31" s="399">
        <f t="shared" si="5"/>
        <v>0</v>
      </c>
      <c r="P31" s="399">
        <f t="shared" si="6"/>
        <v>0</v>
      </c>
      <c r="Q31" s="399">
        <f t="shared" si="7"/>
        <v>0</v>
      </c>
      <c r="R31" s="399">
        <f t="shared" si="8"/>
        <v>0</v>
      </c>
      <c r="S31" s="399">
        <f t="shared" si="9"/>
        <v>0</v>
      </c>
      <c r="T31" s="95"/>
      <c r="U31" s="533">
        <v>25000</v>
      </c>
      <c r="V31" s="165">
        <f t="shared" si="10"/>
        <v>-25000</v>
      </c>
    </row>
    <row r="32" spans="1:22" ht="38.25" hidden="1" x14ac:dyDescent="0.2">
      <c r="A32" s="396" t="s">
        <v>4612</v>
      </c>
      <c r="B32" s="396" t="s">
        <v>4224</v>
      </c>
      <c r="C32" s="396" t="s">
        <v>4616</v>
      </c>
      <c r="D32" s="640">
        <v>0</v>
      </c>
      <c r="E32" s="573">
        <v>0</v>
      </c>
      <c r="F32" s="399"/>
      <c r="G32" s="399"/>
      <c r="H32" s="399"/>
      <c r="I32" s="399"/>
      <c r="J32" s="399">
        <f t="shared" si="0"/>
        <v>0</v>
      </c>
      <c r="K32" s="399">
        <f t="shared" si="1"/>
        <v>0</v>
      </c>
      <c r="L32" s="399">
        <f t="shared" si="2"/>
        <v>0</v>
      </c>
      <c r="M32" s="399">
        <f t="shared" si="3"/>
        <v>0</v>
      </c>
      <c r="N32" s="399">
        <f t="shared" si="4"/>
        <v>0</v>
      </c>
      <c r="O32" s="399">
        <f t="shared" si="5"/>
        <v>0</v>
      </c>
      <c r="P32" s="399">
        <f t="shared" si="6"/>
        <v>0</v>
      </c>
      <c r="Q32" s="399">
        <f t="shared" si="7"/>
        <v>0</v>
      </c>
      <c r="R32" s="399">
        <f t="shared" si="8"/>
        <v>0</v>
      </c>
      <c r="S32" s="399">
        <f t="shared" si="9"/>
        <v>0</v>
      </c>
      <c r="T32" s="95"/>
      <c r="U32" s="533">
        <v>22103</v>
      </c>
      <c r="V32" s="165">
        <f t="shared" si="10"/>
        <v>-22103</v>
      </c>
    </row>
    <row r="33" spans="1:22" ht="38.25" hidden="1" x14ac:dyDescent="0.2">
      <c r="A33" s="396" t="s">
        <v>4612</v>
      </c>
      <c r="B33" s="396" t="s">
        <v>4219</v>
      </c>
      <c r="C33" s="396" t="s">
        <v>4616</v>
      </c>
      <c r="D33" s="640">
        <v>0</v>
      </c>
      <c r="E33" s="573">
        <v>0</v>
      </c>
      <c r="F33" s="399"/>
      <c r="G33" s="399"/>
      <c r="H33" s="399"/>
      <c r="I33" s="399"/>
      <c r="J33" s="399">
        <f t="shared" si="0"/>
        <v>0</v>
      </c>
      <c r="K33" s="399">
        <f t="shared" si="1"/>
        <v>0</v>
      </c>
      <c r="L33" s="399">
        <f t="shared" si="2"/>
        <v>0</v>
      </c>
      <c r="M33" s="399">
        <f t="shared" si="3"/>
        <v>0</v>
      </c>
      <c r="N33" s="399">
        <f t="shared" si="4"/>
        <v>0</v>
      </c>
      <c r="O33" s="399">
        <f t="shared" si="5"/>
        <v>0</v>
      </c>
      <c r="P33" s="399">
        <f t="shared" si="6"/>
        <v>0</v>
      </c>
      <c r="Q33" s="399">
        <f t="shared" si="7"/>
        <v>0</v>
      </c>
      <c r="R33" s="399">
        <f t="shared" si="8"/>
        <v>0</v>
      </c>
      <c r="S33" s="399">
        <f t="shared" si="9"/>
        <v>0</v>
      </c>
      <c r="T33" s="95"/>
      <c r="U33" s="535"/>
      <c r="V33" s="165">
        <f t="shared" si="10"/>
        <v>0</v>
      </c>
    </row>
    <row r="34" spans="1:22" ht="25.5" hidden="1" x14ac:dyDescent="0.2">
      <c r="A34" s="396" t="s">
        <v>4269</v>
      </c>
      <c r="B34" s="396"/>
      <c r="C34" s="396" t="s">
        <v>4220</v>
      </c>
      <c r="D34" s="640">
        <v>0</v>
      </c>
      <c r="E34" s="560">
        <v>0</v>
      </c>
      <c r="F34" s="399"/>
      <c r="G34" s="399"/>
      <c r="H34" s="399"/>
      <c r="I34" s="399"/>
      <c r="J34" s="399">
        <f t="shared" si="0"/>
        <v>0</v>
      </c>
      <c r="K34" s="399">
        <f t="shared" si="1"/>
        <v>0</v>
      </c>
      <c r="L34" s="399">
        <f t="shared" si="2"/>
        <v>0</v>
      </c>
      <c r="M34" s="399">
        <f t="shared" si="3"/>
        <v>0</v>
      </c>
      <c r="N34" s="399">
        <f t="shared" si="4"/>
        <v>0</v>
      </c>
      <c r="O34" s="399">
        <f t="shared" si="5"/>
        <v>0</v>
      </c>
      <c r="P34" s="399">
        <f t="shared" si="6"/>
        <v>0</v>
      </c>
      <c r="Q34" s="399">
        <f t="shared" si="7"/>
        <v>0</v>
      </c>
      <c r="R34" s="399">
        <f t="shared" si="8"/>
        <v>0</v>
      </c>
      <c r="S34" s="399">
        <f t="shared" si="9"/>
        <v>0</v>
      </c>
      <c r="T34" s="95"/>
      <c r="U34" s="533">
        <v>20746</v>
      </c>
      <c r="V34" s="165">
        <f t="shared" si="10"/>
        <v>-20746</v>
      </c>
    </row>
    <row r="35" spans="1:22" ht="25.5" hidden="1" x14ac:dyDescent="0.2">
      <c r="A35" s="396" t="s">
        <v>4269</v>
      </c>
      <c r="B35" s="396"/>
      <c r="C35" s="396" t="s">
        <v>4615</v>
      </c>
      <c r="D35" s="640">
        <v>0</v>
      </c>
      <c r="E35" s="560">
        <v>0</v>
      </c>
      <c r="F35" s="399"/>
      <c r="G35" s="399"/>
      <c r="H35" s="399"/>
      <c r="I35" s="399"/>
      <c r="J35" s="399">
        <f t="shared" si="0"/>
        <v>0</v>
      </c>
      <c r="K35" s="399">
        <f t="shared" si="1"/>
        <v>0</v>
      </c>
      <c r="L35" s="399">
        <f t="shared" si="2"/>
        <v>0</v>
      </c>
      <c r="M35" s="399">
        <f t="shared" si="3"/>
        <v>0</v>
      </c>
      <c r="N35" s="399">
        <f t="shared" si="4"/>
        <v>0</v>
      </c>
      <c r="O35" s="399">
        <f t="shared" si="5"/>
        <v>0</v>
      </c>
      <c r="P35" s="399">
        <f t="shared" si="6"/>
        <v>0</v>
      </c>
      <c r="Q35" s="399">
        <f t="shared" si="7"/>
        <v>0</v>
      </c>
      <c r="R35" s="399">
        <f t="shared" si="8"/>
        <v>0</v>
      </c>
      <c r="S35" s="399">
        <f t="shared" si="9"/>
        <v>0</v>
      </c>
      <c r="T35" s="95"/>
      <c r="U35" s="533">
        <v>13377</v>
      </c>
      <c r="V35" s="165">
        <f t="shared" si="10"/>
        <v>-13377</v>
      </c>
    </row>
    <row r="36" spans="1:22" ht="25.5" hidden="1" x14ac:dyDescent="0.2">
      <c r="A36" s="396" t="s">
        <v>4269</v>
      </c>
      <c r="B36" s="396"/>
      <c r="C36" s="396" t="s">
        <v>4226</v>
      </c>
      <c r="D36" s="640">
        <v>0</v>
      </c>
      <c r="E36" s="573">
        <v>0</v>
      </c>
      <c r="F36" s="399"/>
      <c r="G36" s="399"/>
      <c r="H36" s="399"/>
      <c r="I36" s="399"/>
      <c r="J36" s="399">
        <f t="shared" si="0"/>
        <v>0</v>
      </c>
      <c r="K36" s="399">
        <f t="shared" si="1"/>
        <v>0</v>
      </c>
      <c r="L36" s="399">
        <f t="shared" si="2"/>
        <v>0</v>
      </c>
      <c r="M36" s="399">
        <f t="shared" si="3"/>
        <v>0</v>
      </c>
      <c r="N36" s="399">
        <f t="shared" si="4"/>
        <v>0</v>
      </c>
      <c r="O36" s="399">
        <f t="shared" si="5"/>
        <v>0</v>
      </c>
      <c r="P36" s="399">
        <f t="shared" si="6"/>
        <v>0</v>
      </c>
      <c r="Q36" s="399">
        <f t="shared" si="7"/>
        <v>0</v>
      </c>
      <c r="R36" s="399">
        <f t="shared" si="8"/>
        <v>0</v>
      </c>
      <c r="S36" s="399">
        <f t="shared" si="9"/>
        <v>0</v>
      </c>
      <c r="T36" s="95"/>
      <c r="U36" s="535"/>
      <c r="V36" s="165">
        <f t="shared" si="10"/>
        <v>0</v>
      </c>
    </row>
    <row r="37" spans="1:22" ht="25.5" hidden="1" x14ac:dyDescent="0.2">
      <c r="A37" s="396" t="s">
        <v>4269</v>
      </c>
      <c r="B37" s="396"/>
      <c r="C37" s="396" t="s">
        <v>4616</v>
      </c>
      <c r="D37" s="640">
        <v>0</v>
      </c>
      <c r="E37" s="560">
        <v>0</v>
      </c>
      <c r="F37" s="399"/>
      <c r="G37" s="399"/>
      <c r="H37" s="399"/>
      <c r="I37" s="399"/>
      <c r="J37" s="399">
        <f t="shared" si="0"/>
        <v>0</v>
      </c>
      <c r="K37" s="399">
        <f t="shared" si="1"/>
        <v>0</v>
      </c>
      <c r="L37" s="399">
        <f t="shared" si="2"/>
        <v>0</v>
      </c>
      <c r="M37" s="399">
        <f t="shared" si="3"/>
        <v>0</v>
      </c>
      <c r="N37" s="399">
        <f t="shared" si="4"/>
        <v>0</v>
      </c>
      <c r="O37" s="399">
        <f t="shared" si="5"/>
        <v>0</v>
      </c>
      <c r="P37" s="399">
        <f t="shared" si="6"/>
        <v>0</v>
      </c>
      <c r="Q37" s="399">
        <f t="shared" si="7"/>
        <v>0</v>
      </c>
      <c r="R37" s="399">
        <f t="shared" si="8"/>
        <v>0</v>
      </c>
      <c r="S37" s="399">
        <f t="shared" si="9"/>
        <v>0</v>
      </c>
      <c r="T37" s="95"/>
      <c r="U37" s="533">
        <v>11188</v>
      </c>
      <c r="V37" s="165">
        <f t="shared" si="10"/>
        <v>-11188</v>
      </c>
    </row>
    <row r="38" spans="1:22" ht="38.25" x14ac:dyDescent="0.2">
      <c r="A38" s="396" t="s">
        <v>4221</v>
      </c>
      <c r="B38" s="396" t="s">
        <v>4224</v>
      </c>
      <c r="C38" s="396" t="s">
        <v>4220</v>
      </c>
      <c r="D38" s="640">
        <v>1</v>
      </c>
      <c r="E38" s="427">
        <v>25830</v>
      </c>
      <c r="F38" s="399"/>
      <c r="G38" s="399"/>
      <c r="H38" s="399"/>
      <c r="I38" s="399"/>
      <c r="J38" s="399">
        <f t="shared" si="0"/>
        <v>11070</v>
      </c>
      <c r="K38" s="399">
        <f t="shared" si="1"/>
        <v>36900</v>
      </c>
      <c r="L38" s="399">
        <f t="shared" si="2"/>
        <v>0</v>
      </c>
      <c r="M38" s="399">
        <f t="shared" si="3"/>
        <v>25830</v>
      </c>
      <c r="N38" s="399">
        <f t="shared" si="4"/>
        <v>0</v>
      </c>
      <c r="O38" s="399">
        <f t="shared" si="5"/>
        <v>0</v>
      </c>
      <c r="P38" s="399">
        <f t="shared" si="6"/>
        <v>11070</v>
      </c>
      <c r="Q38" s="399">
        <f t="shared" si="7"/>
        <v>0</v>
      </c>
      <c r="R38" s="399">
        <f t="shared" si="8"/>
        <v>36900</v>
      </c>
      <c r="S38" s="399">
        <f t="shared" si="9"/>
        <v>442800</v>
      </c>
      <c r="T38" s="95"/>
      <c r="U38" s="535"/>
      <c r="V38" s="165">
        <f t="shared" si="10"/>
        <v>25830</v>
      </c>
    </row>
    <row r="39" spans="1:22" ht="38.25" hidden="1" x14ac:dyDescent="0.2">
      <c r="A39" s="396" t="s">
        <v>4221</v>
      </c>
      <c r="B39" s="396" t="s">
        <v>4219</v>
      </c>
      <c r="C39" s="396" t="s">
        <v>4220</v>
      </c>
      <c r="D39" s="640">
        <v>0</v>
      </c>
      <c r="E39" s="560">
        <v>0</v>
      </c>
      <c r="F39" s="399"/>
      <c r="G39" s="399"/>
      <c r="H39" s="399"/>
      <c r="I39" s="399"/>
      <c r="J39" s="399">
        <f t="shared" si="0"/>
        <v>0</v>
      </c>
      <c r="K39" s="399">
        <f t="shared" si="1"/>
        <v>0</v>
      </c>
      <c r="L39" s="399">
        <f t="shared" si="2"/>
        <v>0</v>
      </c>
      <c r="M39" s="399">
        <f t="shared" si="3"/>
        <v>0</v>
      </c>
      <c r="N39" s="399">
        <f t="shared" si="4"/>
        <v>0</v>
      </c>
      <c r="O39" s="399">
        <f t="shared" si="5"/>
        <v>0</v>
      </c>
      <c r="P39" s="399">
        <f t="shared" si="6"/>
        <v>0</v>
      </c>
      <c r="Q39" s="399">
        <f t="shared" si="7"/>
        <v>0</v>
      </c>
      <c r="R39" s="399">
        <f t="shared" si="8"/>
        <v>0</v>
      </c>
      <c r="S39" s="399">
        <f t="shared" si="9"/>
        <v>0</v>
      </c>
      <c r="T39" s="95"/>
      <c r="U39" s="533">
        <v>8569</v>
      </c>
      <c r="V39" s="165">
        <f t="shared" si="10"/>
        <v>-8569</v>
      </c>
    </row>
    <row r="40" spans="1:22" ht="17.25" hidden="1" customHeight="1" x14ac:dyDescent="0.2">
      <c r="A40" s="396" t="s">
        <v>4221</v>
      </c>
      <c r="B40" s="396" t="s">
        <v>4224</v>
      </c>
      <c r="C40" s="396" t="s">
        <v>4615</v>
      </c>
      <c r="D40" s="640">
        <v>0</v>
      </c>
      <c r="E40" s="560">
        <v>0</v>
      </c>
      <c r="F40" s="399"/>
      <c r="G40" s="399"/>
      <c r="H40" s="399"/>
      <c r="I40" s="399"/>
      <c r="J40" s="399">
        <f t="shared" si="0"/>
        <v>0</v>
      </c>
      <c r="K40" s="399">
        <f t="shared" si="1"/>
        <v>0</v>
      </c>
      <c r="L40" s="399">
        <f t="shared" si="2"/>
        <v>0</v>
      </c>
      <c r="M40" s="399">
        <f t="shared" si="3"/>
        <v>0</v>
      </c>
      <c r="N40" s="399">
        <f t="shared" si="4"/>
        <v>0</v>
      </c>
      <c r="O40" s="399">
        <f t="shared" si="5"/>
        <v>0</v>
      </c>
      <c r="P40" s="399">
        <f t="shared" si="6"/>
        <v>0</v>
      </c>
      <c r="Q40" s="399">
        <f t="shared" si="7"/>
        <v>0</v>
      </c>
      <c r="R40" s="399">
        <f t="shared" si="8"/>
        <v>0</v>
      </c>
      <c r="S40" s="399">
        <f t="shared" si="9"/>
        <v>0</v>
      </c>
      <c r="T40" s="95"/>
      <c r="U40" s="533">
        <v>8231</v>
      </c>
      <c r="V40" s="165">
        <f t="shared" si="10"/>
        <v>-8231</v>
      </c>
    </row>
    <row r="41" spans="1:22" ht="17.25" hidden="1" customHeight="1" x14ac:dyDescent="0.2">
      <c r="A41" s="396" t="s">
        <v>4221</v>
      </c>
      <c r="B41" s="396" t="s">
        <v>4219</v>
      </c>
      <c r="C41" s="396" t="s">
        <v>4615</v>
      </c>
      <c r="D41" s="640">
        <v>0</v>
      </c>
      <c r="E41" s="560">
        <v>0</v>
      </c>
      <c r="F41" s="399"/>
      <c r="G41" s="399"/>
      <c r="H41" s="399"/>
      <c r="I41" s="399"/>
      <c r="J41" s="399">
        <f t="shared" si="0"/>
        <v>0</v>
      </c>
      <c r="K41" s="399">
        <f t="shared" si="1"/>
        <v>0</v>
      </c>
      <c r="L41" s="399">
        <f t="shared" si="2"/>
        <v>0</v>
      </c>
      <c r="M41" s="399">
        <f t="shared" si="3"/>
        <v>0</v>
      </c>
      <c r="N41" s="399">
        <f t="shared" si="4"/>
        <v>0</v>
      </c>
      <c r="O41" s="399">
        <f t="shared" si="5"/>
        <v>0</v>
      </c>
      <c r="P41" s="399">
        <f t="shared" si="6"/>
        <v>0</v>
      </c>
      <c r="Q41" s="399">
        <f t="shared" si="7"/>
        <v>0</v>
      </c>
      <c r="R41" s="399">
        <f t="shared" si="8"/>
        <v>0</v>
      </c>
      <c r="S41" s="399">
        <f t="shared" si="9"/>
        <v>0</v>
      </c>
      <c r="T41" s="95"/>
      <c r="U41" s="533">
        <v>8231</v>
      </c>
      <c r="V41" s="165">
        <f t="shared" si="10"/>
        <v>-8231</v>
      </c>
    </row>
    <row r="42" spans="1:22" ht="38.25" x14ac:dyDescent="0.2">
      <c r="A42" s="396" t="s">
        <v>4221</v>
      </c>
      <c r="B42" s="396" t="s">
        <v>4224</v>
      </c>
      <c r="C42" s="396" t="s">
        <v>4226</v>
      </c>
      <c r="D42" s="640">
        <v>1</v>
      </c>
      <c r="E42" s="560">
        <v>25830</v>
      </c>
      <c r="F42" s="399"/>
      <c r="G42" s="399"/>
      <c r="H42" s="399"/>
      <c r="I42" s="399"/>
      <c r="J42" s="399">
        <f t="shared" si="0"/>
        <v>11070</v>
      </c>
      <c r="K42" s="399">
        <f t="shared" si="1"/>
        <v>36900</v>
      </c>
      <c r="L42" s="399">
        <f t="shared" si="2"/>
        <v>0</v>
      </c>
      <c r="M42" s="399">
        <f t="shared" si="3"/>
        <v>25830</v>
      </c>
      <c r="N42" s="399">
        <f t="shared" si="4"/>
        <v>0</v>
      </c>
      <c r="O42" s="399">
        <f t="shared" si="5"/>
        <v>0</v>
      </c>
      <c r="P42" s="399">
        <f t="shared" si="6"/>
        <v>11070</v>
      </c>
      <c r="Q42" s="399">
        <f t="shared" si="7"/>
        <v>0</v>
      </c>
      <c r="R42" s="399">
        <f t="shared" si="8"/>
        <v>36900</v>
      </c>
      <c r="S42" s="399">
        <f t="shared" si="9"/>
        <v>442800</v>
      </c>
      <c r="T42" s="95"/>
      <c r="U42" s="533">
        <v>8231</v>
      </c>
      <c r="V42" s="165">
        <f t="shared" si="10"/>
        <v>17599</v>
      </c>
    </row>
    <row r="43" spans="1:22" hidden="1" x14ac:dyDescent="0.2">
      <c r="A43" s="396" t="s">
        <v>4221</v>
      </c>
      <c r="B43" s="133" t="s">
        <v>4219</v>
      </c>
      <c r="C43" s="133" t="s">
        <v>4226</v>
      </c>
      <c r="D43" s="399">
        <v>0</v>
      </c>
      <c r="E43" s="399">
        <v>0</v>
      </c>
      <c r="F43" s="399"/>
      <c r="G43" s="399"/>
      <c r="H43" s="399"/>
      <c r="I43" s="399"/>
      <c r="J43" s="399">
        <f t="shared" si="0"/>
        <v>0</v>
      </c>
      <c r="K43" s="399">
        <f t="shared" si="1"/>
        <v>0</v>
      </c>
      <c r="L43" s="399">
        <f t="shared" si="2"/>
        <v>0</v>
      </c>
      <c r="M43" s="399">
        <f t="shared" si="3"/>
        <v>0</v>
      </c>
      <c r="N43" s="399">
        <f t="shared" si="4"/>
        <v>0</v>
      </c>
      <c r="O43" s="399">
        <f t="shared" si="5"/>
        <v>0</v>
      </c>
      <c r="P43" s="399">
        <f t="shared" si="6"/>
        <v>0</v>
      </c>
      <c r="Q43" s="399">
        <f t="shared" si="7"/>
        <v>0</v>
      </c>
      <c r="R43" s="399">
        <f t="shared" si="8"/>
        <v>0</v>
      </c>
      <c r="S43" s="399">
        <f t="shared" si="9"/>
        <v>0</v>
      </c>
      <c r="T43" s="95"/>
      <c r="U43" s="536"/>
      <c r="V43" s="299"/>
    </row>
    <row r="44" spans="1:22" hidden="1" x14ac:dyDescent="0.2">
      <c r="A44" s="396" t="s">
        <v>4221</v>
      </c>
      <c r="B44" s="133" t="s">
        <v>4224</v>
      </c>
      <c r="C44" s="133" t="s">
        <v>4616</v>
      </c>
      <c r="D44" s="399">
        <v>0</v>
      </c>
      <c r="E44" s="399">
        <v>0</v>
      </c>
      <c r="F44" s="399"/>
      <c r="G44" s="399"/>
      <c r="H44" s="399"/>
      <c r="I44" s="399"/>
      <c r="J44" s="399">
        <f t="shared" si="0"/>
        <v>0</v>
      </c>
      <c r="K44" s="399">
        <f t="shared" si="1"/>
        <v>0</v>
      </c>
      <c r="L44" s="399">
        <f t="shared" si="2"/>
        <v>0</v>
      </c>
      <c r="M44" s="399">
        <f t="shared" si="3"/>
        <v>0</v>
      </c>
      <c r="N44" s="399">
        <f t="shared" si="4"/>
        <v>0</v>
      </c>
      <c r="O44" s="399">
        <f t="shared" si="5"/>
        <v>0</v>
      </c>
      <c r="P44" s="399">
        <f t="shared" si="6"/>
        <v>0</v>
      </c>
      <c r="Q44" s="399">
        <f t="shared" si="7"/>
        <v>0</v>
      </c>
      <c r="R44" s="399">
        <f t="shared" si="8"/>
        <v>0</v>
      </c>
      <c r="S44" s="399">
        <f t="shared" si="9"/>
        <v>0</v>
      </c>
      <c r="T44" s="95"/>
      <c r="U44" s="536"/>
      <c r="V44" s="299"/>
    </row>
    <row r="45" spans="1:22" hidden="1" x14ac:dyDescent="0.2">
      <c r="A45" s="396" t="s">
        <v>4221</v>
      </c>
      <c r="B45" s="133" t="s">
        <v>4219</v>
      </c>
      <c r="C45" s="133" t="s">
        <v>4616</v>
      </c>
      <c r="D45" s="399">
        <v>0</v>
      </c>
      <c r="E45" s="399">
        <v>0</v>
      </c>
      <c r="F45" s="399"/>
      <c r="G45" s="399"/>
      <c r="H45" s="399"/>
      <c r="I45" s="399"/>
      <c r="J45" s="399">
        <f t="shared" si="0"/>
        <v>0</v>
      </c>
      <c r="K45" s="399">
        <f t="shared" si="1"/>
        <v>0</v>
      </c>
      <c r="L45" s="399">
        <f t="shared" si="2"/>
        <v>0</v>
      </c>
      <c r="M45" s="399">
        <f t="shared" si="3"/>
        <v>0</v>
      </c>
      <c r="N45" s="399">
        <f t="shared" si="4"/>
        <v>0</v>
      </c>
      <c r="O45" s="399">
        <f t="shared" si="5"/>
        <v>0</v>
      </c>
      <c r="P45" s="399">
        <f t="shared" si="6"/>
        <v>0</v>
      </c>
      <c r="Q45" s="399">
        <f t="shared" si="7"/>
        <v>0</v>
      </c>
      <c r="R45" s="399">
        <f t="shared" si="8"/>
        <v>0</v>
      </c>
      <c r="S45" s="399">
        <f t="shared" si="9"/>
        <v>0</v>
      </c>
      <c r="T45" s="95"/>
      <c r="U45" s="536"/>
      <c r="V45" s="299"/>
    </row>
    <row r="46" spans="1:22" hidden="1" x14ac:dyDescent="0.2">
      <c r="A46" s="396"/>
      <c r="B46" s="133"/>
      <c r="C46" s="133"/>
      <c r="D46" s="399"/>
      <c r="E46" s="399"/>
      <c r="F46" s="399"/>
      <c r="G46" s="399"/>
      <c r="H46" s="399"/>
      <c r="I46" s="399"/>
      <c r="J46" s="399">
        <f t="shared" si="0"/>
        <v>0</v>
      </c>
      <c r="K46" s="399">
        <f t="shared" si="1"/>
        <v>0</v>
      </c>
      <c r="L46" s="399">
        <f t="shared" si="2"/>
        <v>0</v>
      </c>
      <c r="M46" s="399">
        <f t="shared" si="3"/>
        <v>0</v>
      </c>
      <c r="N46" s="399">
        <f t="shared" si="4"/>
        <v>0</v>
      </c>
      <c r="O46" s="399">
        <f t="shared" si="5"/>
        <v>0</v>
      </c>
      <c r="P46" s="399">
        <f t="shared" si="6"/>
        <v>0</v>
      </c>
      <c r="Q46" s="399">
        <f t="shared" si="7"/>
        <v>0</v>
      </c>
      <c r="R46" s="399">
        <f t="shared" si="8"/>
        <v>0</v>
      </c>
      <c r="S46" s="399">
        <f t="shared" si="9"/>
        <v>0</v>
      </c>
      <c r="T46" s="95"/>
      <c r="U46" s="536"/>
      <c r="V46" s="299"/>
    </row>
    <row r="47" spans="1:22" hidden="1" x14ac:dyDescent="0.2">
      <c r="A47" s="396" t="s">
        <v>4617</v>
      </c>
      <c r="B47" s="133" t="s">
        <v>4228</v>
      </c>
      <c r="C47" s="133" t="s">
        <v>4618</v>
      </c>
      <c r="D47" s="399">
        <v>0</v>
      </c>
      <c r="E47" s="399">
        <v>0</v>
      </c>
      <c r="F47" s="399"/>
      <c r="G47" s="399"/>
      <c r="H47" s="399"/>
      <c r="I47" s="399"/>
      <c r="J47" s="399">
        <f t="shared" si="0"/>
        <v>0</v>
      </c>
      <c r="K47" s="399">
        <f t="shared" si="1"/>
        <v>0</v>
      </c>
      <c r="L47" s="399">
        <f t="shared" si="2"/>
        <v>0</v>
      </c>
      <c r="M47" s="399">
        <f t="shared" si="3"/>
        <v>0</v>
      </c>
      <c r="N47" s="399">
        <f t="shared" si="4"/>
        <v>0</v>
      </c>
      <c r="O47" s="399">
        <f t="shared" si="5"/>
        <v>0</v>
      </c>
      <c r="P47" s="399">
        <f t="shared" si="6"/>
        <v>0</v>
      </c>
      <c r="Q47" s="399">
        <f t="shared" si="7"/>
        <v>0</v>
      </c>
      <c r="R47" s="399">
        <f t="shared" si="8"/>
        <v>0</v>
      </c>
      <c r="S47" s="399">
        <f t="shared" si="9"/>
        <v>0</v>
      </c>
      <c r="T47" s="95"/>
      <c r="U47" s="536"/>
      <c r="V47" s="299"/>
    </row>
    <row r="48" spans="1:22" hidden="1" x14ac:dyDescent="0.2">
      <c r="A48" s="396" t="s">
        <v>4617</v>
      </c>
      <c r="B48" s="133" t="s">
        <v>4228</v>
      </c>
      <c r="C48" s="133" t="s">
        <v>4619</v>
      </c>
      <c r="D48" s="399">
        <v>0</v>
      </c>
      <c r="E48" s="399">
        <v>0</v>
      </c>
      <c r="F48" s="399"/>
      <c r="G48" s="399"/>
      <c r="H48" s="399"/>
      <c r="I48" s="399"/>
      <c r="J48" s="399">
        <f t="shared" si="0"/>
        <v>0</v>
      </c>
      <c r="K48" s="399">
        <f t="shared" si="1"/>
        <v>0</v>
      </c>
      <c r="L48" s="399">
        <f t="shared" si="2"/>
        <v>0</v>
      </c>
      <c r="M48" s="399">
        <f t="shared" si="3"/>
        <v>0</v>
      </c>
      <c r="N48" s="399">
        <f t="shared" si="4"/>
        <v>0</v>
      </c>
      <c r="O48" s="399">
        <f t="shared" si="5"/>
        <v>0</v>
      </c>
      <c r="P48" s="399">
        <f t="shared" si="6"/>
        <v>0</v>
      </c>
      <c r="Q48" s="399">
        <f t="shared" si="7"/>
        <v>0</v>
      </c>
      <c r="R48" s="399">
        <f t="shared" si="8"/>
        <v>0</v>
      </c>
      <c r="S48" s="399">
        <f t="shared" si="9"/>
        <v>0</v>
      </c>
      <c r="T48" s="95"/>
      <c r="U48" s="536"/>
      <c r="V48" s="299"/>
    </row>
    <row r="49" spans="1:22" hidden="1" x14ac:dyDescent="0.2">
      <c r="A49" s="396" t="s">
        <v>4617</v>
      </c>
      <c r="B49" s="133" t="s">
        <v>4228</v>
      </c>
      <c r="C49" s="133" t="s">
        <v>4620</v>
      </c>
      <c r="D49" s="399">
        <v>0</v>
      </c>
      <c r="E49" s="399">
        <v>0</v>
      </c>
      <c r="F49" s="399"/>
      <c r="G49" s="399"/>
      <c r="H49" s="399"/>
      <c r="I49" s="399"/>
      <c r="J49" s="399">
        <f t="shared" si="0"/>
        <v>0</v>
      </c>
      <c r="K49" s="399">
        <f t="shared" si="1"/>
        <v>0</v>
      </c>
      <c r="L49" s="399">
        <f t="shared" si="2"/>
        <v>0</v>
      </c>
      <c r="M49" s="399">
        <f t="shared" si="3"/>
        <v>0</v>
      </c>
      <c r="N49" s="399">
        <f t="shared" si="4"/>
        <v>0</v>
      </c>
      <c r="O49" s="399">
        <f t="shared" si="5"/>
        <v>0</v>
      </c>
      <c r="P49" s="399">
        <f t="shared" si="6"/>
        <v>0</v>
      </c>
      <c r="Q49" s="399">
        <f t="shared" si="7"/>
        <v>0</v>
      </c>
      <c r="R49" s="399">
        <f t="shared" si="8"/>
        <v>0</v>
      </c>
      <c r="S49" s="399">
        <f t="shared" si="9"/>
        <v>0</v>
      </c>
      <c r="T49" s="95"/>
      <c r="U49" s="536"/>
      <c r="V49" s="299"/>
    </row>
    <row r="50" spans="1:22" hidden="1" x14ac:dyDescent="0.2">
      <c r="A50" s="396" t="s">
        <v>4617</v>
      </c>
      <c r="B50" s="133" t="s">
        <v>4228</v>
      </c>
      <c r="C50" s="133" t="s">
        <v>4621</v>
      </c>
      <c r="D50" s="399">
        <v>0</v>
      </c>
      <c r="E50" s="399">
        <v>0</v>
      </c>
      <c r="F50" s="399"/>
      <c r="G50" s="399"/>
      <c r="H50" s="399"/>
      <c r="I50" s="399"/>
      <c r="J50" s="399">
        <f t="shared" si="0"/>
        <v>0</v>
      </c>
      <c r="K50" s="399">
        <f t="shared" si="1"/>
        <v>0</v>
      </c>
      <c r="L50" s="399">
        <f t="shared" si="2"/>
        <v>0</v>
      </c>
      <c r="M50" s="399">
        <f t="shared" si="3"/>
        <v>0</v>
      </c>
      <c r="N50" s="399">
        <f t="shared" si="4"/>
        <v>0</v>
      </c>
      <c r="O50" s="399">
        <f t="shared" si="5"/>
        <v>0</v>
      </c>
      <c r="P50" s="399">
        <f t="shared" si="6"/>
        <v>0</v>
      </c>
      <c r="Q50" s="399">
        <f t="shared" si="7"/>
        <v>0</v>
      </c>
      <c r="R50" s="399">
        <f t="shared" si="8"/>
        <v>0</v>
      </c>
      <c r="S50" s="399">
        <f t="shared" si="9"/>
        <v>0</v>
      </c>
      <c r="T50" s="95"/>
      <c r="U50" s="536"/>
      <c r="V50" s="299"/>
    </row>
    <row r="51" spans="1:22" hidden="1" x14ac:dyDescent="0.2">
      <c r="A51" s="396" t="s">
        <v>4617</v>
      </c>
      <c r="B51" s="133" t="s">
        <v>4228</v>
      </c>
      <c r="C51" s="133" t="s">
        <v>4273</v>
      </c>
      <c r="D51" s="399">
        <v>0</v>
      </c>
      <c r="E51" s="399">
        <v>0</v>
      </c>
      <c r="F51" s="399"/>
      <c r="G51" s="399"/>
      <c r="H51" s="399"/>
      <c r="I51" s="399"/>
      <c r="J51" s="399">
        <f t="shared" si="0"/>
        <v>0</v>
      </c>
      <c r="K51" s="399">
        <f t="shared" si="1"/>
        <v>0</v>
      </c>
      <c r="L51" s="399">
        <f t="shared" si="2"/>
        <v>0</v>
      </c>
      <c r="M51" s="399">
        <f t="shared" si="3"/>
        <v>0</v>
      </c>
      <c r="N51" s="399">
        <f t="shared" si="4"/>
        <v>0</v>
      </c>
      <c r="O51" s="399">
        <f t="shared" si="5"/>
        <v>0</v>
      </c>
      <c r="P51" s="399">
        <f t="shared" si="6"/>
        <v>0</v>
      </c>
      <c r="Q51" s="399">
        <f t="shared" si="7"/>
        <v>0</v>
      </c>
      <c r="R51" s="399">
        <f t="shared" si="8"/>
        <v>0</v>
      </c>
      <c r="S51" s="399">
        <f t="shared" si="9"/>
        <v>0</v>
      </c>
      <c r="T51" s="95"/>
      <c r="U51" s="536"/>
      <c r="V51" s="299"/>
    </row>
    <row r="52" spans="1:22" hidden="1" x14ac:dyDescent="0.2">
      <c r="A52" s="396" t="s">
        <v>4617</v>
      </c>
      <c r="B52" s="133" t="s">
        <v>4228</v>
      </c>
      <c r="C52" s="133" t="s">
        <v>4271</v>
      </c>
      <c r="D52" s="399">
        <v>0</v>
      </c>
      <c r="E52" s="399">
        <v>0</v>
      </c>
      <c r="F52" s="399"/>
      <c r="G52" s="399"/>
      <c r="H52" s="399"/>
      <c r="I52" s="399"/>
      <c r="J52" s="399">
        <f t="shared" si="0"/>
        <v>0</v>
      </c>
      <c r="K52" s="399">
        <f t="shared" si="1"/>
        <v>0</v>
      </c>
      <c r="L52" s="399">
        <f t="shared" si="2"/>
        <v>0</v>
      </c>
      <c r="M52" s="399">
        <f t="shared" si="3"/>
        <v>0</v>
      </c>
      <c r="N52" s="399">
        <f t="shared" si="4"/>
        <v>0</v>
      </c>
      <c r="O52" s="399">
        <f t="shared" si="5"/>
        <v>0</v>
      </c>
      <c r="P52" s="399">
        <f t="shared" si="6"/>
        <v>0</v>
      </c>
      <c r="Q52" s="399">
        <f t="shared" si="7"/>
        <v>0</v>
      </c>
      <c r="R52" s="399">
        <f t="shared" si="8"/>
        <v>0</v>
      </c>
      <c r="S52" s="399">
        <f t="shared" si="9"/>
        <v>0</v>
      </c>
      <c r="T52" s="95"/>
      <c r="U52" s="536"/>
      <c r="V52" s="299"/>
    </row>
    <row r="53" spans="1:22" hidden="1" x14ac:dyDescent="0.2">
      <c r="A53" s="396" t="s">
        <v>4617</v>
      </c>
      <c r="B53" s="133" t="s">
        <v>4232</v>
      </c>
      <c r="C53" s="133" t="s">
        <v>4229</v>
      </c>
      <c r="D53" s="399">
        <v>0</v>
      </c>
      <c r="E53" s="399">
        <v>0</v>
      </c>
      <c r="F53" s="399"/>
      <c r="G53" s="399"/>
      <c r="H53" s="399"/>
      <c r="I53" s="399"/>
      <c r="J53" s="399">
        <f t="shared" si="0"/>
        <v>0</v>
      </c>
      <c r="K53" s="399">
        <f t="shared" si="1"/>
        <v>0</v>
      </c>
      <c r="L53" s="399">
        <f t="shared" si="2"/>
        <v>0</v>
      </c>
      <c r="M53" s="399">
        <f t="shared" si="3"/>
        <v>0</v>
      </c>
      <c r="N53" s="399">
        <f t="shared" si="4"/>
        <v>0</v>
      </c>
      <c r="O53" s="399">
        <f t="shared" si="5"/>
        <v>0</v>
      </c>
      <c r="P53" s="399">
        <f t="shared" si="6"/>
        <v>0</v>
      </c>
      <c r="Q53" s="399">
        <f t="shared" si="7"/>
        <v>0</v>
      </c>
      <c r="R53" s="399">
        <f t="shared" si="8"/>
        <v>0</v>
      </c>
      <c r="S53" s="399">
        <f t="shared" si="9"/>
        <v>0</v>
      </c>
      <c r="T53" s="95"/>
      <c r="U53" s="536"/>
      <c r="V53" s="299"/>
    </row>
    <row r="54" spans="1:22" hidden="1" x14ac:dyDescent="0.2">
      <c r="A54" s="396" t="s">
        <v>4617</v>
      </c>
      <c r="B54" s="133" t="s">
        <v>4232</v>
      </c>
      <c r="C54" s="133" t="s">
        <v>4275</v>
      </c>
      <c r="D54" s="399">
        <v>0</v>
      </c>
      <c r="E54" s="399">
        <v>0</v>
      </c>
      <c r="F54" s="399"/>
      <c r="G54" s="399"/>
      <c r="H54" s="399"/>
      <c r="I54" s="399"/>
      <c r="J54" s="399">
        <f t="shared" si="0"/>
        <v>0</v>
      </c>
      <c r="K54" s="399">
        <f t="shared" si="1"/>
        <v>0</v>
      </c>
      <c r="L54" s="399">
        <f t="shared" si="2"/>
        <v>0</v>
      </c>
      <c r="M54" s="399">
        <f t="shared" si="3"/>
        <v>0</v>
      </c>
      <c r="N54" s="399">
        <f t="shared" si="4"/>
        <v>0</v>
      </c>
      <c r="O54" s="399">
        <f t="shared" si="5"/>
        <v>0</v>
      </c>
      <c r="P54" s="399">
        <f t="shared" si="6"/>
        <v>0</v>
      </c>
      <c r="Q54" s="399">
        <f t="shared" si="7"/>
        <v>0</v>
      </c>
      <c r="R54" s="399">
        <f t="shared" si="8"/>
        <v>0</v>
      </c>
      <c r="S54" s="399">
        <f t="shared" si="9"/>
        <v>0</v>
      </c>
      <c r="T54" s="95"/>
      <c r="U54" s="536"/>
      <c r="V54" s="299"/>
    </row>
    <row r="55" spans="1:22" hidden="1" x14ac:dyDescent="0.2">
      <c r="A55" s="396" t="s">
        <v>4617</v>
      </c>
      <c r="B55" s="133" t="s">
        <v>4232</v>
      </c>
      <c r="C55" s="133" t="s">
        <v>4230</v>
      </c>
      <c r="D55" s="399">
        <v>0</v>
      </c>
      <c r="E55" s="399">
        <v>0</v>
      </c>
      <c r="F55" s="399"/>
      <c r="G55" s="399"/>
      <c r="H55" s="399"/>
      <c r="I55" s="399"/>
      <c r="J55" s="399">
        <f t="shared" si="0"/>
        <v>0</v>
      </c>
      <c r="K55" s="399">
        <f t="shared" si="1"/>
        <v>0</v>
      </c>
      <c r="L55" s="399">
        <f t="shared" si="2"/>
        <v>0</v>
      </c>
      <c r="M55" s="399">
        <f t="shared" si="3"/>
        <v>0</v>
      </c>
      <c r="N55" s="399">
        <f t="shared" si="4"/>
        <v>0</v>
      </c>
      <c r="O55" s="399">
        <f t="shared" si="5"/>
        <v>0</v>
      </c>
      <c r="P55" s="399">
        <f t="shared" si="6"/>
        <v>0</v>
      </c>
      <c r="Q55" s="399">
        <f t="shared" si="7"/>
        <v>0</v>
      </c>
      <c r="R55" s="399">
        <f t="shared" si="8"/>
        <v>0</v>
      </c>
      <c r="S55" s="399">
        <f t="shared" si="9"/>
        <v>0</v>
      </c>
      <c r="T55" s="95"/>
      <c r="U55" s="536"/>
      <c r="V55" s="299"/>
    </row>
    <row r="56" spans="1:22" hidden="1" x14ac:dyDescent="0.2">
      <c r="A56" s="396" t="s">
        <v>4617</v>
      </c>
      <c r="B56" s="133" t="s">
        <v>4232</v>
      </c>
      <c r="C56" s="133" t="s">
        <v>4231</v>
      </c>
      <c r="D56" s="399">
        <v>0</v>
      </c>
      <c r="E56" s="399">
        <v>0</v>
      </c>
      <c r="F56" s="399"/>
      <c r="G56" s="399"/>
      <c r="H56" s="399"/>
      <c r="I56" s="399"/>
      <c r="J56" s="399">
        <f t="shared" si="0"/>
        <v>0</v>
      </c>
      <c r="K56" s="399">
        <f t="shared" si="1"/>
        <v>0</v>
      </c>
      <c r="L56" s="399">
        <f t="shared" si="2"/>
        <v>0</v>
      </c>
      <c r="M56" s="399">
        <f t="shared" si="3"/>
        <v>0</v>
      </c>
      <c r="N56" s="399">
        <f t="shared" si="4"/>
        <v>0</v>
      </c>
      <c r="O56" s="399">
        <f t="shared" si="5"/>
        <v>0</v>
      </c>
      <c r="P56" s="399">
        <f t="shared" si="6"/>
        <v>0</v>
      </c>
      <c r="Q56" s="399">
        <f t="shared" si="7"/>
        <v>0</v>
      </c>
      <c r="R56" s="399">
        <f t="shared" si="8"/>
        <v>0</v>
      </c>
      <c r="S56" s="399">
        <f t="shared" si="9"/>
        <v>0</v>
      </c>
      <c r="T56" s="95"/>
      <c r="U56" s="536"/>
      <c r="V56" s="299"/>
    </row>
    <row r="57" spans="1:22" hidden="1" x14ac:dyDescent="0.2">
      <c r="A57" s="396" t="s">
        <v>4617</v>
      </c>
      <c r="B57" s="133" t="s">
        <v>4232</v>
      </c>
      <c r="C57" s="133" t="s">
        <v>4273</v>
      </c>
      <c r="D57" s="399">
        <v>0</v>
      </c>
      <c r="E57" s="399">
        <v>0</v>
      </c>
      <c r="F57" s="399"/>
      <c r="G57" s="399"/>
      <c r="H57" s="399"/>
      <c r="I57" s="399"/>
      <c r="J57" s="399">
        <f t="shared" si="0"/>
        <v>0</v>
      </c>
      <c r="K57" s="399">
        <f t="shared" si="1"/>
        <v>0</v>
      </c>
      <c r="L57" s="399">
        <f t="shared" si="2"/>
        <v>0</v>
      </c>
      <c r="M57" s="399">
        <f t="shared" si="3"/>
        <v>0</v>
      </c>
      <c r="N57" s="399">
        <f t="shared" si="4"/>
        <v>0</v>
      </c>
      <c r="O57" s="399">
        <f t="shared" si="5"/>
        <v>0</v>
      </c>
      <c r="P57" s="399">
        <f t="shared" si="6"/>
        <v>0</v>
      </c>
      <c r="Q57" s="399">
        <f t="shared" si="7"/>
        <v>0</v>
      </c>
      <c r="R57" s="399">
        <f t="shared" si="8"/>
        <v>0</v>
      </c>
      <c r="S57" s="399">
        <f t="shared" si="9"/>
        <v>0</v>
      </c>
      <c r="T57" s="95"/>
      <c r="U57" s="536"/>
      <c r="V57" s="299"/>
    </row>
    <row r="58" spans="1:22" hidden="1" x14ac:dyDescent="0.2">
      <c r="A58" s="396" t="s">
        <v>4617</v>
      </c>
      <c r="B58" s="133" t="s">
        <v>4232</v>
      </c>
      <c r="C58" s="133" t="s">
        <v>4271</v>
      </c>
      <c r="D58" s="399">
        <v>0</v>
      </c>
      <c r="E58" s="399">
        <v>0</v>
      </c>
      <c r="F58" s="399"/>
      <c r="G58" s="399"/>
      <c r="H58" s="399"/>
      <c r="I58" s="399"/>
      <c r="J58" s="399">
        <f t="shared" si="0"/>
        <v>0</v>
      </c>
      <c r="K58" s="399">
        <f t="shared" si="1"/>
        <v>0</v>
      </c>
      <c r="L58" s="399">
        <f t="shared" si="2"/>
        <v>0</v>
      </c>
      <c r="M58" s="399">
        <f t="shared" si="3"/>
        <v>0</v>
      </c>
      <c r="N58" s="399">
        <f t="shared" si="4"/>
        <v>0</v>
      </c>
      <c r="O58" s="399">
        <f t="shared" si="5"/>
        <v>0</v>
      </c>
      <c r="P58" s="399">
        <f t="shared" si="6"/>
        <v>0</v>
      </c>
      <c r="Q58" s="399">
        <f t="shared" si="7"/>
        <v>0</v>
      </c>
      <c r="R58" s="399">
        <f t="shared" si="8"/>
        <v>0</v>
      </c>
      <c r="S58" s="399">
        <f t="shared" si="9"/>
        <v>0</v>
      </c>
      <c r="T58" s="95"/>
      <c r="U58" s="536"/>
      <c r="V58" s="299"/>
    </row>
    <row r="59" spans="1:22" hidden="1" x14ac:dyDescent="0.2">
      <c r="A59" s="396" t="s">
        <v>4617</v>
      </c>
      <c r="B59" s="133" t="s">
        <v>4233</v>
      </c>
      <c r="C59" s="133" t="s">
        <v>4229</v>
      </c>
      <c r="D59" s="399">
        <v>0</v>
      </c>
      <c r="E59" s="399">
        <v>0</v>
      </c>
      <c r="F59" s="399"/>
      <c r="G59" s="399"/>
      <c r="H59" s="399"/>
      <c r="I59" s="399"/>
      <c r="J59" s="399">
        <f t="shared" si="0"/>
        <v>0</v>
      </c>
      <c r="K59" s="399">
        <f t="shared" si="1"/>
        <v>0</v>
      </c>
      <c r="L59" s="399">
        <f t="shared" si="2"/>
        <v>0</v>
      </c>
      <c r="M59" s="399">
        <f t="shared" si="3"/>
        <v>0</v>
      </c>
      <c r="N59" s="399">
        <f t="shared" si="4"/>
        <v>0</v>
      </c>
      <c r="O59" s="399">
        <f t="shared" si="5"/>
        <v>0</v>
      </c>
      <c r="P59" s="399">
        <f t="shared" si="6"/>
        <v>0</v>
      </c>
      <c r="Q59" s="399">
        <f t="shared" si="7"/>
        <v>0</v>
      </c>
      <c r="R59" s="399">
        <f t="shared" si="8"/>
        <v>0</v>
      </c>
      <c r="S59" s="399">
        <f t="shared" si="9"/>
        <v>0</v>
      </c>
      <c r="T59" s="95"/>
      <c r="U59" s="536"/>
      <c r="V59" s="299"/>
    </row>
    <row r="60" spans="1:22" hidden="1" x14ac:dyDescent="0.2">
      <c r="A60" s="396" t="s">
        <v>4617</v>
      </c>
      <c r="B60" s="133" t="s">
        <v>4233</v>
      </c>
      <c r="C60" s="133" t="s">
        <v>4275</v>
      </c>
      <c r="D60" s="399">
        <v>0</v>
      </c>
      <c r="E60" s="399">
        <v>0</v>
      </c>
      <c r="F60" s="399"/>
      <c r="G60" s="399"/>
      <c r="H60" s="399"/>
      <c r="I60" s="399"/>
      <c r="J60" s="399">
        <f t="shared" si="0"/>
        <v>0</v>
      </c>
      <c r="K60" s="399">
        <f t="shared" si="1"/>
        <v>0</v>
      </c>
      <c r="L60" s="399">
        <f t="shared" si="2"/>
        <v>0</v>
      </c>
      <c r="M60" s="399">
        <f t="shared" si="3"/>
        <v>0</v>
      </c>
      <c r="N60" s="399">
        <f t="shared" si="4"/>
        <v>0</v>
      </c>
      <c r="O60" s="399">
        <f t="shared" si="5"/>
        <v>0</v>
      </c>
      <c r="P60" s="399">
        <f t="shared" si="6"/>
        <v>0</v>
      </c>
      <c r="Q60" s="399">
        <f t="shared" si="7"/>
        <v>0</v>
      </c>
      <c r="R60" s="399">
        <f t="shared" si="8"/>
        <v>0</v>
      </c>
      <c r="S60" s="399">
        <f t="shared" si="9"/>
        <v>0</v>
      </c>
      <c r="T60" s="95"/>
      <c r="U60" s="536"/>
      <c r="V60" s="299"/>
    </row>
    <row r="61" spans="1:22" hidden="1" x14ac:dyDescent="0.2">
      <c r="A61" s="396" t="s">
        <v>4617</v>
      </c>
      <c r="B61" s="133" t="s">
        <v>4233</v>
      </c>
      <c r="C61" s="133" t="s">
        <v>4230</v>
      </c>
      <c r="D61" s="399">
        <v>0</v>
      </c>
      <c r="E61" s="399">
        <v>0</v>
      </c>
      <c r="F61" s="399"/>
      <c r="G61" s="399"/>
      <c r="H61" s="399"/>
      <c r="I61" s="399"/>
      <c r="J61" s="399">
        <f t="shared" si="0"/>
        <v>0</v>
      </c>
      <c r="K61" s="399">
        <f t="shared" si="1"/>
        <v>0</v>
      </c>
      <c r="L61" s="399">
        <f t="shared" si="2"/>
        <v>0</v>
      </c>
      <c r="M61" s="399">
        <f t="shared" si="3"/>
        <v>0</v>
      </c>
      <c r="N61" s="399">
        <f t="shared" si="4"/>
        <v>0</v>
      </c>
      <c r="O61" s="399">
        <f t="shared" si="5"/>
        <v>0</v>
      </c>
      <c r="P61" s="399">
        <f t="shared" si="6"/>
        <v>0</v>
      </c>
      <c r="Q61" s="399">
        <f t="shared" si="7"/>
        <v>0</v>
      </c>
      <c r="R61" s="399">
        <f t="shared" si="8"/>
        <v>0</v>
      </c>
      <c r="S61" s="399">
        <f t="shared" si="9"/>
        <v>0</v>
      </c>
      <c r="T61" s="95"/>
      <c r="U61" s="536"/>
      <c r="V61" s="299"/>
    </row>
    <row r="62" spans="1:22" hidden="1" x14ac:dyDescent="0.2">
      <c r="A62" s="396" t="s">
        <v>4617</v>
      </c>
      <c r="B62" s="133" t="s">
        <v>4233</v>
      </c>
      <c r="C62" s="133" t="s">
        <v>4231</v>
      </c>
      <c r="D62" s="399">
        <v>0</v>
      </c>
      <c r="E62" s="399">
        <v>0</v>
      </c>
      <c r="F62" s="399"/>
      <c r="G62" s="399"/>
      <c r="H62" s="399"/>
      <c r="I62" s="399"/>
      <c r="J62" s="399">
        <f t="shared" si="0"/>
        <v>0</v>
      </c>
      <c r="K62" s="399">
        <f t="shared" si="1"/>
        <v>0</v>
      </c>
      <c r="L62" s="399">
        <f t="shared" si="2"/>
        <v>0</v>
      </c>
      <c r="M62" s="399">
        <f t="shared" si="3"/>
        <v>0</v>
      </c>
      <c r="N62" s="399">
        <f t="shared" si="4"/>
        <v>0</v>
      </c>
      <c r="O62" s="399">
        <f t="shared" si="5"/>
        <v>0</v>
      </c>
      <c r="P62" s="399">
        <f t="shared" si="6"/>
        <v>0</v>
      </c>
      <c r="Q62" s="399">
        <f t="shared" si="7"/>
        <v>0</v>
      </c>
      <c r="R62" s="399">
        <f t="shared" si="8"/>
        <v>0</v>
      </c>
      <c r="S62" s="399">
        <f t="shared" si="9"/>
        <v>0</v>
      </c>
      <c r="T62" s="95"/>
      <c r="U62" s="536"/>
      <c r="V62" s="299"/>
    </row>
    <row r="63" spans="1:22" x14ac:dyDescent="0.2">
      <c r="A63" s="396" t="s">
        <v>4617</v>
      </c>
      <c r="B63" s="133" t="s">
        <v>4233</v>
      </c>
      <c r="C63" s="133" t="s">
        <v>4276</v>
      </c>
      <c r="D63" s="399">
        <v>4</v>
      </c>
      <c r="E63" s="399">
        <v>32661</v>
      </c>
      <c r="F63" s="399"/>
      <c r="G63" s="399"/>
      <c r="H63" s="399"/>
      <c r="I63" s="399"/>
      <c r="J63" s="399">
        <f t="shared" si="0"/>
        <v>13997.571428571429</v>
      </c>
      <c r="K63" s="399">
        <f t="shared" si="1"/>
        <v>46658.571428571428</v>
      </c>
      <c r="L63" s="399">
        <f t="shared" si="2"/>
        <v>0</v>
      </c>
      <c r="M63" s="399">
        <f t="shared" si="3"/>
        <v>130644</v>
      </c>
      <c r="N63" s="399">
        <f t="shared" si="4"/>
        <v>0</v>
      </c>
      <c r="O63" s="399">
        <f t="shared" si="5"/>
        <v>0</v>
      </c>
      <c r="P63" s="399">
        <f t="shared" si="6"/>
        <v>55990.285714285717</v>
      </c>
      <c r="Q63" s="399">
        <f t="shared" si="7"/>
        <v>0</v>
      </c>
      <c r="R63" s="399">
        <f t="shared" si="8"/>
        <v>186634.28571428571</v>
      </c>
      <c r="S63" s="399">
        <f t="shared" si="9"/>
        <v>2239611.4285714286</v>
      </c>
      <c r="T63" s="95"/>
      <c r="U63" s="536"/>
      <c r="V63" s="299"/>
    </row>
    <row r="64" spans="1:22" hidden="1" x14ac:dyDescent="0.2">
      <c r="A64" s="396" t="s">
        <v>4617</v>
      </c>
      <c r="B64" s="133" t="s">
        <v>4234</v>
      </c>
      <c r="C64" s="133"/>
      <c r="D64" s="399">
        <v>0</v>
      </c>
      <c r="E64" s="399">
        <v>32661</v>
      </c>
      <c r="F64" s="399"/>
      <c r="G64" s="399"/>
      <c r="H64" s="399"/>
      <c r="I64" s="399"/>
      <c r="J64" s="399">
        <f t="shared" si="0"/>
        <v>13997.571428571429</v>
      </c>
      <c r="K64" s="399">
        <f t="shared" si="1"/>
        <v>46658.571428571428</v>
      </c>
      <c r="L64" s="399">
        <f t="shared" si="2"/>
        <v>0</v>
      </c>
      <c r="M64" s="399">
        <f t="shared" si="3"/>
        <v>0</v>
      </c>
      <c r="N64" s="399">
        <f t="shared" si="4"/>
        <v>0</v>
      </c>
      <c r="O64" s="399">
        <f t="shared" si="5"/>
        <v>0</v>
      </c>
      <c r="P64" s="399">
        <f t="shared" si="6"/>
        <v>0</v>
      </c>
      <c r="Q64" s="399">
        <f t="shared" si="7"/>
        <v>0</v>
      </c>
      <c r="R64" s="399">
        <f t="shared" si="8"/>
        <v>0</v>
      </c>
      <c r="S64" s="399">
        <f t="shared" si="9"/>
        <v>0</v>
      </c>
      <c r="T64" s="95"/>
      <c r="U64" s="536"/>
      <c r="V64" s="299"/>
    </row>
    <row r="65" spans="1:22" hidden="1" x14ac:dyDescent="0.2">
      <c r="A65" s="396" t="s">
        <v>4617</v>
      </c>
      <c r="B65" s="133" t="s">
        <v>4235</v>
      </c>
      <c r="C65" s="133"/>
      <c r="D65" s="399">
        <v>0</v>
      </c>
      <c r="E65" s="399">
        <v>32661</v>
      </c>
      <c r="F65" s="399"/>
      <c r="G65" s="399"/>
      <c r="H65" s="399"/>
      <c r="I65" s="399"/>
      <c r="J65" s="399">
        <f t="shared" si="0"/>
        <v>13997.571428571429</v>
      </c>
      <c r="K65" s="399">
        <f t="shared" si="1"/>
        <v>46658.571428571428</v>
      </c>
      <c r="L65" s="399">
        <f t="shared" si="2"/>
        <v>0</v>
      </c>
      <c r="M65" s="399">
        <f t="shared" si="3"/>
        <v>0</v>
      </c>
      <c r="N65" s="399">
        <f t="shared" si="4"/>
        <v>0</v>
      </c>
      <c r="O65" s="399">
        <f t="shared" si="5"/>
        <v>0</v>
      </c>
      <c r="P65" s="399">
        <f t="shared" si="6"/>
        <v>0</v>
      </c>
      <c r="Q65" s="399">
        <f t="shared" si="7"/>
        <v>0</v>
      </c>
      <c r="R65" s="399">
        <f t="shared" si="8"/>
        <v>0</v>
      </c>
      <c r="S65" s="399">
        <f t="shared" si="9"/>
        <v>0</v>
      </c>
      <c r="T65" s="95"/>
      <c r="U65" s="536"/>
      <c r="V65" s="299"/>
    </row>
    <row r="66" spans="1:22" hidden="1" x14ac:dyDescent="0.2">
      <c r="A66" s="396"/>
      <c r="B66" s="133"/>
      <c r="C66" s="133"/>
      <c r="D66" s="399"/>
      <c r="E66" s="399"/>
      <c r="F66" s="399"/>
      <c r="G66" s="399"/>
      <c r="H66" s="399"/>
      <c r="I66" s="399"/>
      <c r="J66" s="399">
        <f t="shared" si="0"/>
        <v>0</v>
      </c>
      <c r="K66" s="399">
        <f t="shared" si="1"/>
        <v>0</v>
      </c>
      <c r="L66" s="399">
        <f t="shared" si="2"/>
        <v>0</v>
      </c>
      <c r="M66" s="399">
        <f t="shared" si="3"/>
        <v>0</v>
      </c>
      <c r="N66" s="399">
        <f t="shared" si="4"/>
        <v>0</v>
      </c>
      <c r="O66" s="399">
        <f t="shared" si="5"/>
        <v>0</v>
      </c>
      <c r="P66" s="399">
        <f t="shared" si="6"/>
        <v>0</v>
      </c>
      <c r="Q66" s="399">
        <f t="shared" si="7"/>
        <v>0</v>
      </c>
      <c r="R66" s="399">
        <f t="shared" si="8"/>
        <v>0</v>
      </c>
      <c r="S66" s="399">
        <f t="shared" si="9"/>
        <v>0</v>
      </c>
      <c r="T66" s="95"/>
      <c r="U66" s="536"/>
      <c r="V66" s="299"/>
    </row>
    <row r="67" spans="1:22" ht="38.25" hidden="1" x14ac:dyDescent="0.2">
      <c r="A67" s="396" t="s">
        <v>4227</v>
      </c>
      <c r="B67" s="133" t="s">
        <v>4228</v>
      </c>
      <c r="C67" s="133" t="s">
        <v>4229</v>
      </c>
      <c r="D67" s="399">
        <v>0</v>
      </c>
      <c r="E67" s="399">
        <v>0</v>
      </c>
      <c r="F67" s="399"/>
      <c r="G67" s="399"/>
      <c r="H67" s="399"/>
      <c r="I67" s="399"/>
      <c r="J67" s="399">
        <f t="shared" si="0"/>
        <v>0</v>
      </c>
      <c r="K67" s="399">
        <f t="shared" si="1"/>
        <v>0</v>
      </c>
      <c r="L67" s="399">
        <f t="shared" si="2"/>
        <v>0</v>
      </c>
      <c r="M67" s="399">
        <f t="shared" si="3"/>
        <v>0</v>
      </c>
      <c r="N67" s="399">
        <f t="shared" si="4"/>
        <v>0</v>
      </c>
      <c r="O67" s="399">
        <f t="shared" si="5"/>
        <v>0</v>
      </c>
      <c r="P67" s="399">
        <f t="shared" si="6"/>
        <v>0</v>
      </c>
      <c r="Q67" s="399">
        <f t="shared" si="7"/>
        <v>0</v>
      </c>
      <c r="R67" s="399">
        <f t="shared" si="8"/>
        <v>0</v>
      </c>
      <c r="S67" s="399">
        <f t="shared" si="9"/>
        <v>0</v>
      </c>
      <c r="T67" s="95"/>
      <c r="U67" s="536"/>
      <c r="V67" s="299"/>
    </row>
    <row r="68" spans="1:22" ht="38.25" hidden="1" x14ac:dyDescent="0.2">
      <c r="A68" s="396" t="s">
        <v>4227</v>
      </c>
      <c r="B68" s="133" t="s">
        <v>4228</v>
      </c>
      <c r="C68" s="133" t="s">
        <v>4275</v>
      </c>
      <c r="D68" s="399">
        <v>0</v>
      </c>
      <c r="E68" s="399">
        <v>0</v>
      </c>
      <c r="F68" s="399"/>
      <c r="G68" s="399"/>
      <c r="H68" s="399"/>
      <c r="I68" s="399"/>
      <c r="J68" s="399">
        <f t="shared" si="0"/>
        <v>0</v>
      </c>
      <c r="K68" s="399">
        <f t="shared" si="1"/>
        <v>0</v>
      </c>
      <c r="L68" s="399">
        <f t="shared" si="2"/>
        <v>0</v>
      </c>
      <c r="M68" s="399">
        <f t="shared" si="3"/>
        <v>0</v>
      </c>
      <c r="N68" s="399">
        <f t="shared" si="4"/>
        <v>0</v>
      </c>
      <c r="O68" s="399">
        <f t="shared" si="5"/>
        <v>0</v>
      </c>
      <c r="P68" s="399">
        <f t="shared" si="6"/>
        <v>0</v>
      </c>
      <c r="Q68" s="399">
        <f t="shared" si="7"/>
        <v>0</v>
      </c>
      <c r="R68" s="399">
        <f t="shared" si="8"/>
        <v>0</v>
      </c>
      <c r="S68" s="399">
        <f t="shared" si="9"/>
        <v>0</v>
      </c>
      <c r="T68" s="95"/>
      <c r="U68" s="536"/>
      <c r="V68" s="299"/>
    </row>
    <row r="69" spans="1:22" ht="38.25" hidden="1" x14ac:dyDescent="0.2">
      <c r="A69" s="396" t="s">
        <v>4227</v>
      </c>
      <c r="B69" s="133" t="s">
        <v>4228</v>
      </c>
      <c r="C69" s="133" t="s">
        <v>4230</v>
      </c>
      <c r="D69" s="399">
        <v>0</v>
      </c>
      <c r="E69" s="399">
        <v>0</v>
      </c>
      <c r="F69" s="399"/>
      <c r="G69" s="399"/>
      <c r="H69" s="399"/>
      <c r="I69" s="399"/>
      <c r="J69" s="399">
        <f t="shared" si="0"/>
        <v>0</v>
      </c>
      <c r="K69" s="399">
        <f t="shared" si="1"/>
        <v>0</v>
      </c>
      <c r="L69" s="399">
        <f t="shared" si="2"/>
        <v>0</v>
      </c>
      <c r="M69" s="399">
        <f t="shared" si="3"/>
        <v>0</v>
      </c>
      <c r="N69" s="399">
        <f t="shared" si="4"/>
        <v>0</v>
      </c>
      <c r="O69" s="399">
        <f t="shared" si="5"/>
        <v>0</v>
      </c>
      <c r="P69" s="399">
        <f t="shared" si="6"/>
        <v>0</v>
      </c>
      <c r="Q69" s="399">
        <f t="shared" si="7"/>
        <v>0</v>
      </c>
      <c r="R69" s="399">
        <f t="shared" si="8"/>
        <v>0</v>
      </c>
      <c r="S69" s="399">
        <f t="shared" si="9"/>
        <v>0</v>
      </c>
      <c r="T69" s="95"/>
      <c r="U69" s="536"/>
      <c r="V69" s="299"/>
    </row>
    <row r="70" spans="1:22" ht="38.25" hidden="1" x14ac:dyDescent="0.2">
      <c r="A70" s="396" t="s">
        <v>4227</v>
      </c>
      <c r="B70" s="133" t="s">
        <v>4228</v>
      </c>
      <c r="C70" s="133" t="s">
        <v>4231</v>
      </c>
      <c r="D70" s="399">
        <v>0</v>
      </c>
      <c r="E70" s="399">
        <v>0</v>
      </c>
      <c r="F70" s="399"/>
      <c r="G70" s="399"/>
      <c r="H70" s="399"/>
      <c r="I70" s="399"/>
      <c r="J70" s="399">
        <f t="shared" si="0"/>
        <v>0</v>
      </c>
      <c r="K70" s="399">
        <f t="shared" si="1"/>
        <v>0</v>
      </c>
      <c r="L70" s="399">
        <f t="shared" si="2"/>
        <v>0</v>
      </c>
      <c r="M70" s="399">
        <f t="shared" si="3"/>
        <v>0</v>
      </c>
      <c r="N70" s="399">
        <f t="shared" si="4"/>
        <v>0</v>
      </c>
      <c r="O70" s="399">
        <f t="shared" si="5"/>
        <v>0</v>
      </c>
      <c r="P70" s="399">
        <f t="shared" si="6"/>
        <v>0</v>
      </c>
      <c r="Q70" s="399">
        <f t="shared" si="7"/>
        <v>0</v>
      </c>
      <c r="R70" s="399">
        <f t="shared" si="8"/>
        <v>0</v>
      </c>
      <c r="S70" s="399">
        <f t="shared" si="9"/>
        <v>0</v>
      </c>
      <c r="T70" s="95"/>
      <c r="U70" s="536"/>
      <c r="V70" s="299"/>
    </row>
    <row r="71" spans="1:22" ht="38.25" hidden="1" x14ac:dyDescent="0.2">
      <c r="A71" s="396" t="s">
        <v>4227</v>
      </c>
      <c r="B71" s="133" t="s">
        <v>4228</v>
      </c>
      <c r="C71" s="133" t="s">
        <v>4273</v>
      </c>
      <c r="D71" s="399">
        <v>0</v>
      </c>
      <c r="E71" s="399">
        <v>0</v>
      </c>
      <c r="F71" s="399"/>
      <c r="G71" s="399"/>
      <c r="H71" s="399"/>
      <c r="I71" s="399"/>
      <c r="J71" s="399">
        <f t="shared" si="0"/>
        <v>0</v>
      </c>
      <c r="K71" s="399">
        <f t="shared" si="1"/>
        <v>0</v>
      </c>
      <c r="L71" s="399">
        <f t="shared" si="2"/>
        <v>0</v>
      </c>
      <c r="M71" s="399">
        <f t="shared" si="3"/>
        <v>0</v>
      </c>
      <c r="N71" s="399">
        <f t="shared" si="4"/>
        <v>0</v>
      </c>
      <c r="O71" s="399">
        <f t="shared" si="5"/>
        <v>0</v>
      </c>
      <c r="P71" s="399">
        <f t="shared" si="6"/>
        <v>0</v>
      </c>
      <c r="Q71" s="399">
        <f t="shared" si="7"/>
        <v>0</v>
      </c>
      <c r="R71" s="399">
        <f t="shared" si="8"/>
        <v>0</v>
      </c>
      <c r="S71" s="399">
        <f t="shared" si="9"/>
        <v>0</v>
      </c>
      <c r="T71" s="95"/>
      <c r="U71" s="536"/>
      <c r="V71" s="299"/>
    </row>
    <row r="72" spans="1:22" ht="38.25" hidden="1" x14ac:dyDescent="0.2">
      <c r="A72" s="396" t="s">
        <v>4227</v>
      </c>
      <c r="B72" s="133" t="s">
        <v>4228</v>
      </c>
      <c r="C72" s="133" t="s">
        <v>4271</v>
      </c>
      <c r="D72" s="399">
        <v>0</v>
      </c>
      <c r="E72" s="399">
        <v>0</v>
      </c>
      <c r="F72" s="399"/>
      <c r="G72" s="399"/>
      <c r="H72" s="399"/>
      <c r="I72" s="399"/>
      <c r="J72" s="399">
        <f t="shared" si="0"/>
        <v>0</v>
      </c>
      <c r="K72" s="399">
        <f t="shared" si="1"/>
        <v>0</v>
      </c>
      <c r="L72" s="399">
        <f t="shared" si="2"/>
        <v>0</v>
      </c>
      <c r="M72" s="399">
        <f t="shared" si="3"/>
        <v>0</v>
      </c>
      <c r="N72" s="399">
        <f t="shared" si="4"/>
        <v>0</v>
      </c>
      <c r="O72" s="399">
        <f t="shared" si="5"/>
        <v>0</v>
      </c>
      <c r="P72" s="399">
        <f t="shared" si="6"/>
        <v>0</v>
      </c>
      <c r="Q72" s="399">
        <f t="shared" si="7"/>
        <v>0</v>
      </c>
      <c r="R72" s="399">
        <f t="shared" si="8"/>
        <v>0</v>
      </c>
      <c r="S72" s="399">
        <f t="shared" si="9"/>
        <v>0</v>
      </c>
      <c r="T72" s="95"/>
      <c r="U72" s="536"/>
      <c r="V72" s="299"/>
    </row>
    <row r="73" spans="1:22" ht="38.25" hidden="1" x14ac:dyDescent="0.2">
      <c r="A73" s="396" t="s">
        <v>4227</v>
      </c>
      <c r="B73" s="133" t="s">
        <v>4232</v>
      </c>
      <c r="C73" s="133" t="s">
        <v>4229</v>
      </c>
      <c r="D73" s="399">
        <v>0</v>
      </c>
      <c r="E73" s="399">
        <v>0</v>
      </c>
      <c r="F73" s="399"/>
      <c r="G73" s="399"/>
      <c r="H73" s="399"/>
      <c r="I73" s="399"/>
      <c r="J73" s="399">
        <f t="shared" si="0"/>
        <v>0</v>
      </c>
      <c r="K73" s="399">
        <f t="shared" si="1"/>
        <v>0</v>
      </c>
      <c r="L73" s="399">
        <f t="shared" si="2"/>
        <v>0</v>
      </c>
      <c r="M73" s="399">
        <f t="shared" si="3"/>
        <v>0</v>
      </c>
      <c r="N73" s="399">
        <f t="shared" si="4"/>
        <v>0</v>
      </c>
      <c r="O73" s="399">
        <f t="shared" si="5"/>
        <v>0</v>
      </c>
      <c r="P73" s="399">
        <f t="shared" si="6"/>
        <v>0</v>
      </c>
      <c r="Q73" s="399">
        <f t="shared" si="7"/>
        <v>0</v>
      </c>
      <c r="R73" s="399">
        <f t="shared" si="8"/>
        <v>0</v>
      </c>
      <c r="S73" s="399">
        <f t="shared" si="9"/>
        <v>0</v>
      </c>
      <c r="T73" s="95"/>
      <c r="U73" s="536"/>
      <c r="V73" s="299"/>
    </row>
    <row r="74" spans="1:22" ht="38.25" hidden="1" x14ac:dyDescent="0.2">
      <c r="A74" s="396" t="s">
        <v>4227</v>
      </c>
      <c r="B74" s="133" t="s">
        <v>4232</v>
      </c>
      <c r="C74" s="133" t="s">
        <v>4275</v>
      </c>
      <c r="D74" s="399">
        <v>0</v>
      </c>
      <c r="E74" s="399">
        <v>0</v>
      </c>
      <c r="F74" s="399"/>
      <c r="G74" s="399"/>
      <c r="H74" s="399"/>
      <c r="I74" s="399"/>
      <c r="J74" s="399">
        <f t="shared" si="0"/>
        <v>0</v>
      </c>
      <c r="K74" s="399">
        <f t="shared" si="1"/>
        <v>0</v>
      </c>
      <c r="L74" s="399">
        <f t="shared" si="2"/>
        <v>0</v>
      </c>
      <c r="M74" s="399">
        <f t="shared" si="3"/>
        <v>0</v>
      </c>
      <c r="N74" s="399">
        <f t="shared" si="4"/>
        <v>0</v>
      </c>
      <c r="O74" s="399">
        <f t="shared" si="5"/>
        <v>0</v>
      </c>
      <c r="P74" s="399">
        <f t="shared" si="6"/>
        <v>0</v>
      </c>
      <c r="Q74" s="399">
        <f t="shared" si="7"/>
        <v>0</v>
      </c>
      <c r="R74" s="399">
        <f t="shared" si="8"/>
        <v>0</v>
      </c>
      <c r="S74" s="399">
        <f t="shared" si="9"/>
        <v>0</v>
      </c>
      <c r="T74" s="95"/>
      <c r="U74" s="536"/>
      <c r="V74" s="299"/>
    </row>
    <row r="75" spans="1:22" ht="38.25" hidden="1" x14ac:dyDescent="0.2">
      <c r="A75" s="396" t="s">
        <v>4227</v>
      </c>
      <c r="B75" s="133" t="s">
        <v>4232</v>
      </c>
      <c r="C75" s="133" t="s">
        <v>4230</v>
      </c>
      <c r="D75" s="399">
        <v>0</v>
      </c>
      <c r="E75" s="399">
        <v>0</v>
      </c>
      <c r="F75" s="399"/>
      <c r="G75" s="399"/>
      <c r="H75" s="399"/>
      <c r="I75" s="399"/>
      <c r="J75" s="399">
        <f t="shared" ref="J75:J138" si="11">E75/70*30</f>
        <v>0</v>
      </c>
      <c r="K75" s="399">
        <f t="shared" ref="K75:K138" si="12">E75+F75+G75+H75+I75+J75</f>
        <v>0</v>
      </c>
      <c r="L75" s="399">
        <f t="shared" ref="L75:L138" si="13">IF(D75=0,0,IF(K75&lt;23000,23000-K75,0))</f>
        <v>0</v>
      </c>
      <c r="M75" s="399">
        <f t="shared" ref="M75:M138" si="14">E75*D75</f>
        <v>0</v>
      </c>
      <c r="N75" s="399">
        <f t="shared" ref="N75:N138" si="15">I75*D75</f>
        <v>0</v>
      </c>
      <c r="O75" s="399">
        <f t="shared" ref="O75:O138" si="16">(F75+G75+H75)*D75</f>
        <v>0</v>
      </c>
      <c r="P75" s="399">
        <f t="shared" ref="P75:P138" si="17">J75*D75</f>
        <v>0</v>
      </c>
      <c r="Q75" s="399">
        <f t="shared" ref="Q75:Q138" si="18">L75*D75</f>
        <v>0</v>
      </c>
      <c r="R75" s="399">
        <f t="shared" ref="R75:R138" si="19">SUM(M75:Q75)</f>
        <v>0</v>
      </c>
      <c r="S75" s="399">
        <f t="shared" ref="S75:S138" si="20">R75*12</f>
        <v>0</v>
      </c>
      <c r="T75" s="95"/>
      <c r="U75" s="536"/>
      <c r="V75" s="299"/>
    </row>
    <row r="76" spans="1:22" ht="38.25" hidden="1" x14ac:dyDescent="0.2">
      <c r="A76" s="396" t="s">
        <v>4227</v>
      </c>
      <c r="B76" s="133" t="s">
        <v>4232</v>
      </c>
      <c r="C76" s="133" t="s">
        <v>4231</v>
      </c>
      <c r="D76" s="399">
        <v>0</v>
      </c>
      <c r="E76" s="399">
        <v>0</v>
      </c>
      <c r="F76" s="399"/>
      <c r="G76" s="399"/>
      <c r="H76" s="399"/>
      <c r="I76" s="399"/>
      <c r="J76" s="399">
        <f t="shared" si="11"/>
        <v>0</v>
      </c>
      <c r="K76" s="399">
        <f t="shared" si="12"/>
        <v>0</v>
      </c>
      <c r="L76" s="399">
        <f t="shared" si="13"/>
        <v>0</v>
      </c>
      <c r="M76" s="399">
        <f t="shared" si="14"/>
        <v>0</v>
      </c>
      <c r="N76" s="399">
        <f t="shared" si="15"/>
        <v>0</v>
      </c>
      <c r="O76" s="399">
        <f t="shared" si="16"/>
        <v>0</v>
      </c>
      <c r="P76" s="399">
        <f t="shared" si="17"/>
        <v>0</v>
      </c>
      <c r="Q76" s="399">
        <f t="shared" si="18"/>
        <v>0</v>
      </c>
      <c r="R76" s="399">
        <f t="shared" si="19"/>
        <v>0</v>
      </c>
      <c r="S76" s="399">
        <f t="shared" si="20"/>
        <v>0</v>
      </c>
      <c r="T76" s="95"/>
      <c r="U76" s="536"/>
      <c r="V76" s="299"/>
    </row>
    <row r="77" spans="1:22" ht="38.25" hidden="1" x14ac:dyDescent="0.2">
      <c r="A77" s="396" t="s">
        <v>4227</v>
      </c>
      <c r="B77" s="133" t="s">
        <v>4232</v>
      </c>
      <c r="C77" s="133" t="s">
        <v>4273</v>
      </c>
      <c r="D77" s="399">
        <v>0</v>
      </c>
      <c r="E77" s="399">
        <v>0</v>
      </c>
      <c r="F77" s="399"/>
      <c r="G77" s="399"/>
      <c r="H77" s="399"/>
      <c r="I77" s="399"/>
      <c r="J77" s="399">
        <f t="shared" si="11"/>
        <v>0</v>
      </c>
      <c r="K77" s="399">
        <f t="shared" si="12"/>
        <v>0</v>
      </c>
      <c r="L77" s="399">
        <f t="shared" si="13"/>
        <v>0</v>
      </c>
      <c r="M77" s="399">
        <f t="shared" si="14"/>
        <v>0</v>
      </c>
      <c r="N77" s="399">
        <f t="shared" si="15"/>
        <v>0</v>
      </c>
      <c r="O77" s="399">
        <f t="shared" si="16"/>
        <v>0</v>
      </c>
      <c r="P77" s="399">
        <f t="shared" si="17"/>
        <v>0</v>
      </c>
      <c r="Q77" s="399">
        <f t="shared" si="18"/>
        <v>0</v>
      </c>
      <c r="R77" s="399">
        <f t="shared" si="19"/>
        <v>0</v>
      </c>
      <c r="S77" s="399">
        <f t="shared" si="20"/>
        <v>0</v>
      </c>
      <c r="T77" s="95"/>
      <c r="U77" s="536"/>
      <c r="V77" s="299"/>
    </row>
    <row r="78" spans="1:22" ht="38.25" hidden="1" x14ac:dyDescent="0.2">
      <c r="A78" s="396" t="s">
        <v>4227</v>
      </c>
      <c r="B78" s="133" t="s">
        <v>4232</v>
      </c>
      <c r="C78" s="133" t="s">
        <v>4271</v>
      </c>
      <c r="D78" s="399">
        <v>0</v>
      </c>
      <c r="E78" s="399">
        <v>0</v>
      </c>
      <c r="F78" s="399"/>
      <c r="G78" s="399"/>
      <c r="H78" s="399"/>
      <c r="I78" s="399"/>
      <c r="J78" s="399">
        <f t="shared" si="11"/>
        <v>0</v>
      </c>
      <c r="K78" s="399">
        <f t="shared" si="12"/>
        <v>0</v>
      </c>
      <c r="L78" s="399">
        <f t="shared" si="13"/>
        <v>0</v>
      </c>
      <c r="M78" s="399">
        <f t="shared" si="14"/>
        <v>0</v>
      </c>
      <c r="N78" s="399">
        <f t="shared" si="15"/>
        <v>0</v>
      </c>
      <c r="O78" s="399">
        <f t="shared" si="16"/>
        <v>0</v>
      </c>
      <c r="P78" s="399">
        <f t="shared" si="17"/>
        <v>0</v>
      </c>
      <c r="Q78" s="399">
        <f t="shared" si="18"/>
        <v>0</v>
      </c>
      <c r="R78" s="399">
        <f t="shared" si="19"/>
        <v>0</v>
      </c>
      <c r="S78" s="399">
        <f t="shared" si="20"/>
        <v>0</v>
      </c>
      <c r="T78" s="95"/>
      <c r="U78" s="536"/>
      <c r="V78" s="299"/>
    </row>
    <row r="79" spans="1:22" ht="38.25" hidden="1" x14ac:dyDescent="0.2">
      <c r="A79" s="396" t="s">
        <v>4227</v>
      </c>
      <c r="B79" s="133" t="s">
        <v>4233</v>
      </c>
      <c r="C79" s="133" t="s">
        <v>4229</v>
      </c>
      <c r="D79" s="399">
        <v>0</v>
      </c>
      <c r="E79" s="399">
        <v>0</v>
      </c>
      <c r="F79" s="399"/>
      <c r="G79" s="399"/>
      <c r="H79" s="399"/>
      <c r="I79" s="399"/>
      <c r="J79" s="399">
        <f t="shared" si="11"/>
        <v>0</v>
      </c>
      <c r="K79" s="399">
        <f t="shared" si="12"/>
        <v>0</v>
      </c>
      <c r="L79" s="399">
        <f t="shared" si="13"/>
        <v>0</v>
      </c>
      <c r="M79" s="399">
        <f t="shared" si="14"/>
        <v>0</v>
      </c>
      <c r="N79" s="399">
        <f t="shared" si="15"/>
        <v>0</v>
      </c>
      <c r="O79" s="399">
        <f t="shared" si="16"/>
        <v>0</v>
      </c>
      <c r="P79" s="399">
        <f t="shared" si="17"/>
        <v>0</v>
      </c>
      <c r="Q79" s="399">
        <f t="shared" si="18"/>
        <v>0</v>
      </c>
      <c r="R79" s="399">
        <f t="shared" si="19"/>
        <v>0</v>
      </c>
      <c r="S79" s="399">
        <f t="shared" si="20"/>
        <v>0</v>
      </c>
      <c r="T79" s="95"/>
      <c r="U79" s="536"/>
      <c r="V79" s="299"/>
    </row>
    <row r="80" spans="1:22" ht="38.25" hidden="1" x14ac:dyDescent="0.2">
      <c r="A80" s="396" t="s">
        <v>4227</v>
      </c>
      <c r="B80" s="133" t="s">
        <v>4233</v>
      </c>
      <c r="C80" s="133" t="s">
        <v>4275</v>
      </c>
      <c r="D80" s="399">
        <v>0</v>
      </c>
      <c r="E80" s="399">
        <v>0</v>
      </c>
      <c r="F80" s="399"/>
      <c r="G80" s="399"/>
      <c r="H80" s="399"/>
      <c r="I80" s="399"/>
      <c r="J80" s="399">
        <f t="shared" si="11"/>
        <v>0</v>
      </c>
      <c r="K80" s="399">
        <f t="shared" si="12"/>
        <v>0</v>
      </c>
      <c r="L80" s="399">
        <f t="shared" si="13"/>
        <v>0</v>
      </c>
      <c r="M80" s="399">
        <f t="shared" si="14"/>
        <v>0</v>
      </c>
      <c r="N80" s="399">
        <f t="shared" si="15"/>
        <v>0</v>
      </c>
      <c r="O80" s="399">
        <f t="shared" si="16"/>
        <v>0</v>
      </c>
      <c r="P80" s="399">
        <f t="shared" si="17"/>
        <v>0</v>
      </c>
      <c r="Q80" s="399">
        <f t="shared" si="18"/>
        <v>0</v>
      </c>
      <c r="R80" s="399">
        <f t="shared" si="19"/>
        <v>0</v>
      </c>
      <c r="S80" s="399">
        <f t="shared" si="20"/>
        <v>0</v>
      </c>
      <c r="T80" s="95"/>
      <c r="U80" s="536"/>
      <c r="V80" s="299"/>
    </row>
    <row r="81" spans="1:22" ht="38.25" hidden="1" x14ac:dyDescent="0.2">
      <c r="A81" s="396" t="s">
        <v>4227</v>
      </c>
      <c r="B81" s="133" t="s">
        <v>4233</v>
      </c>
      <c r="C81" s="133" t="s">
        <v>4230</v>
      </c>
      <c r="D81" s="399">
        <v>0</v>
      </c>
      <c r="E81" s="399">
        <v>0</v>
      </c>
      <c r="F81" s="399"/>
      <c r="G81" s="399"/>
      <c r="H81" s="399"/>
      <c r="I81" s="399"/>
      <c r="J81" s="399">
        <f t="shared" si="11"/>
        <v>0</v>
      </c>
      <c r="K81" s="399">
        <f t="shared" si="12"/>
        <v>0</v>
      </c>
      <c r="L81" s="399">
        <f t="shared" si="13"/>
        <v>0</v>
      </c>
      <c r="M81" s="399">
        <f t="shared" si="14"/>
        <v>0</v>
      </c>
      <c r="N81" s="399">
        <f t="shared" si="15"/>
        <v>0</v>
      </c>
      <c r="O81" s="399">
        <f t="shared" si="16"/>
        <v>0</v>
      </c>
      <c r="P81" s="399">
        <f t="shared" si="17"/>
        <v>0</v>
      </c>
      <c r="Q81" s="399">
        <f t="shared" si="18"/>
        <v>0</v>
      </c>
      <c r="R81" s="399">
        <f t="shared" si="19"/>
        <v>0</v>
      </c>
      <c r="S81" s="399">
        <f t="shared" si="20"/>
        <v>0</v>
      </c>
      <c r="T81" s="95"/>
      <c r="U81" s="536"/>
      <c r="V81" s="299"/>
    </row>
    <row r="82" spans="1:22" ht="38.25" hidden="1" x14ac:dyDescent="0.2">
      <c r="A82" s="396" t="s">
        <v>4227</v>
      </c>
      <c r="B82" s="133" t="s">
        <v>4233</v>
      </c>
      <c r="C82" s="133" t="s">
        <v>4231</v>
      </c>
      <c r="D82" s="399">
        <v>0</v>
      </c>
      <c r="E82" s="399">
        <v>0</v>
      </c>
      <c r="F82" s="399"/>
      <c r="G82" s="399"/>
      <c r="H82" s="399"/>
      <c r="I82" s="399"/>
      <c r="J82" s="399">
        <f t="shared" si="11"/>
        <v>0</v>
      </c>
      <c r="K82" s="399">
        <f t="shared" si="12"/>
        <v>0</v>
      </c>
      <c r="L82" s="399">
        <f t="shared" si="13"/>
        <v>0</v>
      </c>
      <c r="M82" s="399">
        <f t="shared" si="14"/>
        <v>0</v>
      </c>
      <c r="N82" s="399">
        <f t="shared" si="15"/>
        <v>0</v>
      </c>
      <c r="O82" s="399">
        <f t="shared" si="16"/>
        <v>0</v>
      </c>
      <c r="P82" s="399">
        <f t="shared" si="17"/>
        <v>0</v>
      </c>
      <c r="Q82" s="399">
        <f t="shared" si="18"/>
        <v>0</v>
      </c>
      <c r="R82" s="399">
        <f t="shared" si="19"/>
        <v>0</v>
      </c>
      <c r="S82" s="399">
        <f t="shared" si="20"/>
        <v>0</v>
      </c>
      <c r="T82" s="95"/>
      <c r="U82" s="536"/>
      <c r="V82" s="299"/>
    </row>
    <row r="83" spans="1:22" ht="38.25" hidden="1" x14ac:dyDescent="0.2">
      <c r="A83" s="396" t="s">
        <v>4227</v>
      </c>
      <c r="B83" s="133" t="s">
        <v>4233</v>
      </c>
      <c r="C83" s="133" t="s">
        <v>4276</v>
      </c>
      <c r="D83" s="399">
        <v>0</v>
      </c>
      <c r="E83" s="399">
        <v>34781</v>
      </c>
      <c r="F83" s="399"/>
      <c r="G83" s="399"/>
      <c r="H83" s="399"/>
      <c r="I83" s="399"/>
      <c r="J83" s="399">
        <f t="shared" si="11"/>
        <v>14906.142857142857</v>
      </c>
      <c r="K83" s="399">
        <f t="shared" si="12"/>
        <v>49687.142857142855</v>
      </c>
      <c r="L83" s="399">
        <f t="shared" si="13"/>
        <v>0</v>
      </c>
      <c r="M83" s="399">
        <f t="shared" si="14"/>
        <v>0</v>
      </c>
      <c r="N83" s="399">
        <f t="shared" si="15"/>
        <v>0</v>
      </c>
      <c r="O83" s="399">
        <f t="shared" si="16"/>
        <v>0</v>
      </c>
      <c r="P83" s="399">
        <f t="shared" si="17"/>
        <v>0</v>
      </c>
      <c r="Q83" s="399">
        <f t="shared" si="18"/>
        <v>0</v>
      </c>
      <c r="R83" s="399">
        <f t="shared" si="19"/>
        <v>0</v>
      </c>
      <c r="S83" s="399">
        <f t="shared" si="20"/>
        <v>0</v>
      </c>
      <c r="T83" s="95"/>
      <c r="U83" s="536"/>
      <c r="V83" s="299"/>
    </row>
    <row r="84" spans="1:22" ht="38.25" x14ac:dyDescent="0.2">
      <c r="A84" s="396" t="s">
        <v>4227</v>
      </c>
      <c r="B84" s="133" t="s">
        <v>4234</v>
      </c>
      <c r="C84" s="133"/>
      <c r="D84" s="399">
        <v>30.666666666666668</v>
      </c>
      <c r="E84" s="399">
        <v>34781</v>
      </c>
      <c r="F84" s="399"/>
      <c r="G84" s="399"/>
      <c r="H84" s="399"/>
      <c r="I84" s="399">
        <v>3000</v>
      </c>
      <c r="J84" s="399">
        <f t="shared" si="11"/>
        <v>14906.142857142857</v>
      </c>
      <c r="K84" s="399">
        <f t="shared" si="12"/>
        <v>52687.142857142855</v>
      </c>
      <c r="L84" s="399">
        <f t="shared" si="13"/>
        <v>0</v>
      </c>
      <c r="M84" s="399">
        <f t="shared" si="14"/>
        <v>1066617.3333333335</v>
      </c>
      <c r="N84" s="399">
        <f t="shared" si="15"/>
        <v>92000</v>
      </c>
      <c r="O84" s="399">
        <f t="shared" si="16"/>
        <v>0</v>
      </c>
      <c r="P84" s="399">
        <f t="shared" si="17"/>
        <v>457121.71428571432</v>
      </c>
      <c r="Q84" s="399">
        <f t="shared" si="18"/>
        <v>0</v>
      </c>
      <c r="R84" s="399">
        <f t="shared" si="19"/>
        <v>1615739.0476190478</v>
      </c>
      <c r="S84" s="399">
        <f t="shared" si="20"/>
        <v>19388868.571428575</v>
      </c>
      <c r="T84" s="95"/>
      <c r="U84" s="536"/>
      <c r="V84" s="299"/>
    </row>
    <row r="85" spans="1:22" ht="38.25" hidden="1" x14ac:dyDescent="0.2">
      <c r="A85" s="396" t="s">
        <v>4227</v>
      </c>
      <c r="B85" s="133" t="s">
        <v>4235</v>
      </c>
      <c r="C85" s="133"/>
      <c r="D85" s="399">
        <v>0</v>
      </c>
      <c r="E85" s="399">
        <v>34781</v>
      </c>
      <c r="F85" s="399"/>
      <c r="G85" s="399"/>
      <c r="H85" s="399"/>
      <c r="I85" s="399"/>
      <c r="J85" s="399">
        <f t="shared" si="11"/>
        <v>14906.142857142857</v>
      </c>
      <c r="K85" s="399">
        <f t="shared" si="12"/>
        <v>49687.142857142855</v>
      </c>
      <c r="L85" s="399">
        <f t="shared" si="13"/>
        <v>0</v>
      </c>
      <c r="M85" s="399">
        <f t="shared" si="14"/>
        <v>0</v>
      </c>
      <c r="N85" s="399">
        <f t="shared" si="15"/>
        <v>0</v>
      </c>
      <c r="O85" s="399">
        <f t="shared" si="16"/>
        <v>0</v>
      </c>
      <c r="P85" s="399">
        <f t="shared" si="17"/>
        <v>0</v>
      </c>
      <c r="Q85" s="399">
        <f t="shared" si="18"/>
        <v>0</v>
      </c>
      <c r="R85" s="399">
        <f t="shared" si="19"/>
        <v>0</v>
      </c>
      <c r="S85" s="399">
        <f t="shared" si="20"/>
        <v>0</v>
      </c>
      <c r="T85" s="95"/>
      <c r="U85" s="536"/>
      <c r="V85" s="299"/>
    </row>
    <row r="86" spans="1:22" hidden="1" x14ac:dyDescent="0.2">
      <c r="A86" s="396" t="s">
        <v>4236</v>
      </c>
      <c r="B86" s="133" t="s">
        <v>4228</v>
      </c>
      <c r="C86" s="133" t="s">
        <v>4229</v>
      </c>
      <c r="D86" s="399">
        <v>0</v>
      </c>
      <c r="E86" s="399">
        <v>0</v>
      </c>
      <c r="F86" s="399"/>
      <c r="G86" s="399"/>
      <c r="H86" s="399"/>
      <c r="I86" s="399"/>
      <c r="J86" s="399">
        <f t="shared" si="11"/>
        <v>0</v>
      </c>
      <c r="K86" s="399">
        <f t="shared" si="12"/>
        <v>0</v>
      </c>
      <c r="L86" s="399">
        <f t="shared" si="13"/>
        <v>0</v>
      </c>
      <c r="M86" s="399">
        <f t="shared" si="14"/>
        <v>0</v>
      </c>
      <c r="N86" s="399">
        <f t="shared" si="15"/>
        <v>0</v>
      </c>
      <c r="O86" s="399">
        <f t="shared" si="16"/>
        <v>0</v>
      </c>
      <c r="P86" s="399">
        <f t="shared" si="17"/>
        <v>0</v>
      </c>
      <c r="Q86" s="399">
        <f t="shared" si="18"/>
        <v>0</v>
      </c>
      <c r="R86" s="399">
        <f t="shared" si="19"/>
        <v>0</v>
      </c>
      <c r="S86" s="399">
        <f t="shared" si="20"/>
        <v>0</v>
      </c>
      <c r="T86" s="95"/>
      <c r="U86" s="536"/>
      <c r="V86" s="299"/>
    </row>
    <row r="87" spans="1:22" hidden="1" x14ac:dyDescent="0.2">
      <c r="A87" s="396" t="s">
        <v>4236</v>
      </c>
      <c r="B87" s="133" t="s">
        <v>4228</v>
      </c>
      <c r="C87" s="133" t="s">
        <v>4275</v>
      </c>
      <c r="D87" s="399">
        <v>0</v>
      </c>
      <c r="E87" s="399">
        <v>0</v>
      </c>
      <c r="F87" s="399"/>
      <c r="G87" s="399"/>
      <c r="H87" s="399"/>
      <c r="I87" s="399"/>
      <c r="J87" s="399">
        <f t="shared" si="11"/>
        <v>0</v>
      </c>
      <c r="K87" s="399">
        <f t="shared" si="12"/>
        <v>0</v>
      </c>
      <c r="L87" s="399">
        <f t="shared" si="13"/>
        <v>0</v>
      </c>
      <c r="M87" s="399">
        <f t="shared" si="14"/>
        <v>0</v>
      </c>
      <c r="N87" s="399">
        <f t="shared" si="15"/>
        <v>0</v>
      </c>
      <c r="O87" s="399">
        <f t="shared" si="16"/>
        <v>0</v>
      </c>
      <c r="P87" s="399">
        <f t="shared" si="17"/>
        <v>0</v>
      </c>
      <c r="Q87" s="399">
        <f t="shared" si="18"/>
        <v>0</v>
      </c>
      <c r="R87" s="399">
        <f t="shared" si="19"/>
        <v>0</v>
      </c>
      <c r="S87" s="399">
        <f t="shared" si="20"/>
        <v>0</v>
      </c>
      <c r="T87" s="95"/>
      <c r="U87" s="536"/>
      <c r="V87" s="299"/>
    </row>
    <row r="88" spans="1:22" hidden="1" x14ac:dyDescent="0.2">
      <c r="A88" s="396" t="s">
        <v>4236</v>
      </c>
      <c r="B88" s="133" t="s">
        <v>4228</v>
      </c>
      <c r="C88" s="133" t="s">
        <v>4230</v>
      </c>
      <c r="D88" s="399">
        <v>0</v>
      </c>
      <c r="E88" s="399">
        <v>0</v>
      </c>
      <c r="F88" s="399"/>
      <c r="G88" s="399"/>
      <c r="H88" s="399"/>
      <c r="I88" s="399"/>
      <c r="J88" s="399">
        <f t="shared" si="11"/>
        <v>0</v>
      </c>
      <c r="K88" s="399">
        <f t="shared" si="12"/>
        <v>0</v>
      </c>
      <c r="L88" s="399">
        <f t="shared" si="13"/>
        <v>0</v>
      </c>
      <c r="M88" s="399">
        <f t="shared" si="14"/>
        <v>0</v>
      </c>
      <c r="N88" s="399">
        <f t="shared" si="15"/>
        <v>0</v>
      </c>
      <c r="O88" s="399">
        <f t="shared" si="16"/>
        <v>0</v>
      </c>
      <c r="P88" s="399">
        <f t="shared" si="17"/>
        <v>0</v>
      </c>
      <c r="Q88" s="399">
        <f t="shared" si="18"/>
        <v>0</v>
      </c>
      <c r="R88" s="399">
        <f t="shared" si="19"/>
        <v>0</v>
      </c>
      <c r="S88" s="399">
        <f t="shared" si="20"/>
        <v>0</v>
      </c>
      <c r="T88" s="95"/>
      <c r="U88" s="536"/>
      <c r="V88" s="299"/>
    </row>
    <row r="89" spans="1:22" hidden="1" x14ac:dyDescent="0.2">
      <c r="A89" s="396" t="s">
        <v>4236</v>
      </c>
      <c r="B89" s="133" t="s">
        <v>4228</v>
      </c>
      <c r="C89" s="133" t="s">
        <v>4231</v>
      </c>
      <c r="D89" s="399">
        <v>0</v>
      </c>
      <c r="E89" s="399">
        <v>0</v>
      </c>
      <c r="F89" s="399"/>
      <c r="G89" s="399"/>
      <c r="H89" s="399"/>
      <c r="I89" s="399"/>
      <c r="J89" s="399">
        <f t="shared" si="11"/>
        <v>0</v>
      </c>
      <c r="K89" s="399">
        <f t="shared" si="12"/>
        <v>0</v>
      </c>
      <c r="L89" s="399">
        <f t="shared" si="13"/>
        <v>0</v>
      </c>
      <c r="M89" s="399">
        <f t="shared" si="14"/>
        <v>0</v>
      </c>
      <c r="N89" s="399">
        <f t="shared" si="15"/>
        <v>0</v>
      </c>
      <c r="O89" s="399">
        <f t="shared" si="16"/>
        <v>0</v>
      </c>
      <c r="P89" s="399">
        <f t="shared" si="17"/>
        <v>0</v>
      </c>
      <c r="Q89" s="399">
        <f t="shared" si="18"/>
        <v>0</v>
      </c>
      <c r="R89" s="399">
        <f t="shared" si="19"/>
        <v>0</v>
      </c>
      <c r="S89" s="399">
        <f t="shared" si="20"/>
        <v>0</v>
      </c>
      <c r="T89" s="95"/>
      <c r="U89" s="536"/>
      <c r="V89" s="299"/>
    </row>
    <row r="90" spans="1:22" hidden="1" x14ac:dyDescent="0.2">
      <c r="A90" s="396" t="s">
        <v>4236</v>
      </c>
      <c r="B90" s="133" t="s">
        <v>4228</v>
      </c>
      <c r="C90" s="133" t="s">
        <v>4273</v>
      </c>
      <c r="D90" s="399">
        <v>0</v>
      </c>
      <c r="E90" s="399">
        <v>0</v>
      </c>
      <c r="F90" s="399"/>
      <c r="G90" s="399"/>
      <c r="H90" s="399"/>
      <c r="I90" s="399"/>
      <c r="J90" s="399">
        <f t="shared" si="11"/>
        <v>0</v>
      </c>
      <c r="K90" s="399">
        <f t="shared" si="12"/>
        <v>0</v>
      </c>
      <c r="L90" s="399">
        <f t="shared" si="13"/>
        <v>0</v>
      </c>
      <c r="M90" s="399">
        <f t="shared" si="14"/>
        <v>0</v>
      </c>
      <c r="N90" s="399">
        <f t="shared" si="15"/>
        <v>0</v>
      </c>
      <c r="O90" s="399">
        <f t="shared" si="16"/>
        <v>0</v>
      </c>
      <c r="P90" s="399">
        <f t="shared" si="17"/>
        <v>0</v>
      </c>
      <c r="Q90" s="399">
        <f t="shared" si="18"/>
        <v>0</v>
      </c>
      <c r="R90" s="399">
        <f t="shared" si="19"/>
        <v>0</v>
      </c>
      <c r="S90" s="399">
        <f t="shared" si="20"/>
        <v>0</v>
      </c>
      <c r="T90" s="95"/>
      <c r="U90" s="536"/>
      <c r="V90" s="299"/>
    </row>
    <row r="91" spans="1:22" hidden="1" x14ac:dyDescent="0.2">
      <c r="A91" s="396" t="s">
        <v>4236</v>
      </c>
      <c r="B91" s="133" t="s">
        <v>4228</v>
      </c>
      <c r="C91" s="133" t="s">
        <v>4271</v>
      </c>
      <c r="D91" s="399">
        <v>0</v>
      </c>
      <c r="E91" s="399">
        <v>0</v>
      </c>
      <c r="F91" s="399"/>
      <c r="G91" s="399"/>
      <c r="H91" s="399"/>
      <c r="I91" s="399"/>
      <c r="J91" s="399">
        <f t="shared" si="11"/>
        <v>0</v>
      </c>
      <c r="K91" s="399">
        <f t="shared" si="12"/>
        <v>0</v>
      </c>
      <c r="L91" s="399">
        <f t="shared" si="13"/>
        <v>0</v>
      </c>
      <c r="M91" s="399">
        <f t="shared" si="14"/>
        <v>0</v>
      </c>
      <c r="N91" s="399">
        <f t="shared" si="15"/>
        <v>0</v>
      </c>
      <c r="O91" s="399">
        <f t="shared" si="16"/>
        <v>0</v>
      </c>
      <c r="P91" s="399">
        <f t="shared" si="17"/>
        <v>0</v>
      </c>
      <c r="Q91" s="399">
        <f t="shared" si="18"/>
        <v>0</v>
      </c>
      <c r="R91" s="399">
        <f t="shared" si="19"/>
        <v>0</v>
      </c>
      <c r="S91" s="399">
        <f t="shared" si="20"/>
        <v>0</v>
      </c>
      <c r="T91" s="95"/>
      <c r="U91" s="536"/>
      <c r="V91" s="299"/>
    </row>
    <row r="92" spans="1:22" hidden="1" x14ac:dyDescent="0.2">
      <c r="A92" s="396" t="s">
        <v>4236</v>
      </c>
      <c r="B92" s="133" t="s">
        <v>4232</v>
      </c>
      <c r="C92" s="133" t="s">
        <v>4229</v>
      </c>
      <c r="D92" s="399">
        <v>0</v>
      </c>
      <c r="E92" s="399">
        <v>0</v>
      </c>
      <c r="F92" s="399"/>
      <c r="G92" s="399"/>
      <c r="H92" s="399"/>
      <c r="I92" s="399"/>
      <c r="J92" s="399">
        <f t="shared" si="11"/>
        <v>0</v>
      </c>
      <c r="K92" s="399">
        <f t="shared" si="12"/>
        <v>0</v>
      </c>
      <c r="L92" s="399">
        <f t="shared" si="13"/>
        <v>0</v>
      </c>
      <c r="M92" s="399">
        <f t="shared" si="14"/>
        <v>0</v>
      </c>
      <c r="N92" s="399">
        <f t="shared" si="15"/>
        <v>0</v>
      </c>
      <c r="O92" s="399">
        <f t="shared" si="16"/>
        <v>0</v>
      </c>
      <c r="P92" s="399">
        <f t="shared" si="17"/>
        <v>0</v>
      </c>
      <c r="Q92" s="399">
        <f t="shared" si="18"/>
        <v>0</v>
      </c>
      <c r="R92" s="399">
        <f t="shared" si="19"/>
        <v>0</v>
      </c>
      <c r="S92" s="399">
        <f t="shared" si="20"/>
        <v>0</v>
      </c>
      <c r="T92" s="95"/>
      <c r="U92" s="536"/>
      <c r="V92" s="299"/>
    </row>
    <row r="93" spans="1:22" hidden="1" x14ac:dyDescent="0.2">
      <c r="A93" s="396" t="s">
        <v>4236</v>
      </c>
      <c r="B93" s="133" t="s">
        <v>4232</v>
      </c>
      <c r="C93" s="133" t="s">
        <v>4275</v>
      </c>
      <c r="D93" s="399">
        <v>0</v>
      </c>
      <c r="E93" s="399">
        <v>0</v>
      </c>
      <c r="F93" s="399"/>
      <c r="G93" s="399"/>
      <c r="H93" s="399"/>
      <c r="I93" s="399"/>
      <c r="J93" s="399">
        <f t="shared" si="11"/>
        <v>0</v>
      </c>
      <c r="K93" s="399">
        <f t="shared" si="12"/>
        <v>0</v>
      </c>
      <c r="L93" s="399">
        <f t="shared" si="13"/>
        <v>0</v>
      </c>
      <c r="M93" s="399">
        <f t="shared" si="14"/>
        <v>0</v>
      </c>
      <c r="N93" s="399">
        <f t="shared" si="15"/>
        <v>0</v>
      </c>
      <c r="O93" s="399">
        <f t="shared" si="16"/>
        <v>0</v>
      </c>
      <c r="P93" s="399">
        <f t="shared" si="17"/>
        <v>0</v>
      </c>
      <c r="Q93" s="399">
        <f t="shared" si="18"/>
        <v>0</v>
      </c>
      <c r="R93" s="399">
        <f t="shared" si="19"/>
        <v>0</v>
      </c>
      <c r="S93" s="399">
        <f t="shared" si="20"/>
        <v>0</v>
      </c>
      <c r="T93" s="95"/>
      <c r="U93" s="536"/>
      <c r="V93" s="299"/>
    </row>
    <row r="94" spans="1:22" hidden="1" x14ac:dyDescent="0.2">
      <c r="A94" s="396" t="s">
        <v>4236</v>
      </c>
      <c r="B94" s="133" t="s">
        <v>4232</v>
      </c>
      <c r="C94" s="133" t="s">
        <v>4230</v>
      </c>
      <c r="D94" s="399">
        <v>0</v>
      </c>
      <c r="E94" s="399">
        <v>0</v>
      </c>
      <c r="F94" s="399"/>
      <c r="G94" s="399"/>
      <c r="H94" s="399"/>
      <c r="I94" s="399"/>
      <c r="J94" s="399">
        <f t="shared" si="11"/>
        <v>0</v>
      </c>
      <c r="K94" s="399">
        <f t="shared" si="12"/>
        <v>0</v>
      </c>
      <c r="L94" s="399">
        <f t="shared" si="13"/>
        <v>0</v>
      </c>
      <c r="M94" s="399">
        <f t="shared" si="14"/>
        <v>0</v>
      </c>
      <c r="N94" s="399">
        <f t="shared" si="15"/>
        <v>0</v>
      </c>
      <c r="O94" s="399">
        <f t="shared" si="16"/>
        <v>0</v>
      </c>
      <c r="P94" s="399">
        <f t="shared" si="17"/>
        <v>0</v>
      </c>
      <c r="Q94" s="399">
        <f t="shared" si="18"/>
        <v>0</v>
      </c>
      <c r="R94" s="399">
        <f t="shared" si="19"/>
        <v>0</v>
      </c>
      <c r="S94" s="399">
        <f t="shared" si="20"/>
        <v>0</v>
      </c>
      <c r="T94" s="95"/>
      <c r="U94" s="536"/>
      <c r="V94" s="299"/>
    </row>
    <row r="95" spans="1:22" hidden="1" x14ac:dyDescent="0.2">
      <c r="A95" s="396" t="s">
        <v>4236</v>
      </c>
      <c r="B95" s="133" t="s">
        <v>4232</v>
      </c>
      <c r="C95" s="133" t="s">
        <v>4231</v>
      </c>
      <c r="D95" s="399">
        <v>0</v>
      </c>
      <c r="E95" s="399">
        <v>0</v>
      </c>
      <c r="F95" s="399"/>
      <c r="G95" s="399"/>
      <c r="H95" s="399"/>
      <c r="I95" s="399"/>
      <c r="J95" s="399">
        <f t="shared" si="11"/>
        <v>0</v>
      </c>
      <c r="K95" s="399">
        <f t="shared" si="12"/>
        <v>0</v>
      </c>
      <c r="L95" s="399">
        <f t="shared" si="13"/>
        <v>0</v>
      </c>
      <c r="M95" s="399">
        <f t="shared" si="14"/>
        <v>0</v>
      </c>
      <c r="N95" s="399">
        <f t="shared" si="15"/>
        <v>0</v>
      </c>
      <c r="O95" s="399">
        <f t="shared" si="16"/>
        <v>0</v>
      </c>
      <c r="P95" s="399">
        <f t="shared" si="17"/>
        <v>0</v>
      </c>
      <c r="Q95" s="399">
        <f t="shared" si="18"/>
        <v>0</v>
      </c>
      <c r="R95" s="399">
        <f t="shared" si="19"/>
        <v>0</v>
      </c>
      <c r="S95" s="399">
        <f t="shared" si="20"/>
        <v>0</v>
      </c>
      <c r="T95" s="95"/>
      <c r="U95" s="536"/>
      <c r="V95" s="299"/>
    </row>
    <row r="96" spans="1:22" hidden="1" x14ac:dyDescent="0.2">
      <c r="A96" s="396" t="s">
        <v>4236</v>
      </c>
      <c r="B96" s="133" t="s">
        <v>4232</v>
      </c>
      <c r="C96" s="133" t="s">
        <v>4273</v>
      </c>
      <c r="D96" s="399">
        <v>0</v>
      </c>
      <c r="E96" s="399">
        <v>0</v>
      </c>
      <c r="F96" s="399"/>
      <c r="G96" s="399"/>
      <c r="H96" s="399"/>
      <c r="I96" s="399"/>
      <c r="J96" s="399">
        <f t="shared" si="11"/>
        <v>0</v>
      </c>
      <c r="K96" s="399">
        <f t="shared" si="12"/>
        <v>0</v>
      </c>
      <c r="L96" s="399">
        <f t="shared" si="13"/>
        <v>0</v>
      </c>
      <c r="M96" s="399">
        <f t="shared" si="14"/>
        <v>0</v>
      </c>
      <c r="N96" s="399">
        <f t="shared" si="15"/>
        <v>0</v>
      </c>
      <c r="O96" s="399">
        <f t="shared" si="16"/>
        <v>0</v>
      </c>
      <c r="P96" s="399">
        <f t="shared" si="17"/>
        <v>0</v>
      </c>
      <c r="Q96" s="399">
        <f t="shared" si="18"/>
        <v>0</v>
      </c>
      <c r="R96" s="399">
        <f t="shared" si="19"/>
        <v>0</v>
      </c>
      <c r="S96" s="399">
        <f t="shared" si="20"/>
        <v>0</v>
      </c>
      <c r="T96" s="95"/>
      <c r="U96" s="536"/>
      <c r="V96" s="299"/>
    </row>
    <row r="97" spans="1:22" hidden="1" x14ac:dyDescent="0.2">
      <c r="A97" s="396" t="s">
        <v>4236</v>
      </c>
      <c r="B97" s="133" t="s">
        <v>4232</v>
      </c>
      <c r="C97" s="133" t="s">
        <v>4271</v>
      </c>
      <c r="D97" s="399">
        <v>0</v>
      </c>
      <c r="E97" s="399">
        <v>0</v>
      </c>
      <c r="F97" s="399"/>
      <c r="G97" s="399"/>
      <c r="H97" s="399"/>
      <c r="I97" s="399"/>
      <c r="J97" s="399">
        <f t="shared" si="11"/>
        <v>0</v>
      </c>
      <c r="K97" s="399">
        <f t="shared" si="12"/>
        <v>0</v>
      </c>
      <c r="L97" s="399">
        <f t="shared" si="13"/>
        <v>0</v>
      </c>
      <c r="M97" s="399">
        <f t="shared" si="14"/>
        <v>0</v>
      </c>
      <c r="N97" s="399">
        <f t="shared" si="15"/>
        <v>0</v>
      </c>
      <c r="O97" s="399">
        <f t="shared" si="16"/>
        <v>0</v>
      </c>
      <c r="P97" s="399">
        <f t="shared" si="17"/>
        <v>0</v>
      </c>
      <c r="Q97" s="399">
        <f t="shared" si="18"/>
        <v>0</v>
      </c>
      <c r="R97" s="399">
        <f t="shared" si="19"/>
        <v>0</v>
      </c>
      <c r="S97" s="399">
        <f t="shared" si="20"/>
        <v>0</v>
      </c>
      <c r="T97" s="95"/>
      <c r="U97" s="536"/>
      <c r="V97" s="299"/>
    </row>
    <row r="98" spans="1:22" hidden="1" x14ac:dyDescent="0.2">
      <c r="A98" s="396" t="s">
        <v>4236</v>
      </c>
      <c r="B98" s="133" t="s">
        <v>4233</v>
      </c>
      <c r="C98" s="133" t="s">
        <v>4229</v>
      </c>
      <c r="D98" s="399">
        <v>0</v>
      </c>
      <c r="E98" s="399">
        <v>0</v>
      </c>
      <c r="F98" s="399"/>
      <c r="G98" s="399"/>
      <c r="H98" s="399"/>
      <c r="I98" s="399"/>
      <c r="J98" s="399">
        <f t="shared" si="11"/>
        <v>0</v>
      </c>
      <c r="K98" s="399">
        <f t="shared" si="12"/>
        <v>0</v>
      </c>
      <c r="L98" s="399">
        <f t="shared" si="13"/>
        <v>0</v>
      </c>
      <c r="M98" s="399">
        <f t="shared" si="14"/>
        <v>0</v>
      </c>
      <c r="N98" s="399">
        <f t="shared" si="15"/>
        <v>0</v>
      </c>
      <c r="O98" s="399">
        <f t="shared" si="16"/>
        <v>0</v>
      </c>
      <c r="P98" s="399">
        <f t="shared" si="17"/>
        <v>0</v>
      </c>
      <c r="Q98" s="399">
        <f t="shared" si="18"/>
        <v>0</v>
      </c>
      <c r="R98" s="399">
        <f t="shared" si="19"/>
        <v>0</v>
      </c>
      <c r="S98" s="399">
        <f t="shared" si="20"/>
        <v>0</v>
      </c>
      <c r="T98" s="95"/>
      <c r="U98" s="536"/>
      <c r="V98" s="299"/>
    </row>
    <row r="99" spans="1:22" hidden="1" x14ac:dyDescent="0.2">
      <c r="A99" s="396" t="s">
        <v>4236</v>
      </c>
      <c r="B99" s="133" t="s">
        <v>4233</v>
      </c>
      <c r="C99" s="133" t="s">
        <v>4275</v>
      </c>
      <c r="D99" s="399">
        <v>0</v>
      </c>
      <c r="E99" s="399">
        <v>0</v>
      </c>
      <c r="F99" s="399"/>
      <c r="G99" s="399"/>
      <c r="H99" s="399"/>
      <c r="I99" s="399"/>
      <c r="J99" s="399">
        <f t="shared" si="11"/>
        <v>0</v>
      </c>
      <c r="K99" s="399">
        <f t="shared" si="12"/>
        <v>0</v>
      </c>
      <c r="L99" s="399">
        <f t="shared" si="13"/>
        <v>0</v>
      </c>
      <c r="M99" s="399">
        <f t="shared" si="14"/>
        <v>0</v>
      </c>
      <c r="N99" s="399">
        <f t="shared" si="15"/>
        <v>0</v>
      </c>
      <c r="O99" s="399">
        <f t="shared" si="16"/>
        <v>0</v>
      </c>
      <c r="P99" s="399">
        <f t="shared" si="17"/>
        <v>0</v>
      </c>
      <c r="Q99" s="399">
        <f t="shared" si="18"/>
        <v>0</v>
      </c>
      <c r="R99" s="399">
        <f t="shared" si="19"/>
        <v>0</v>
      </c>
      <c r="S99" s="399">
        <f t="shared" si="20"/>
        <v>0</v>
      </c>
      <c r="T99" s="95"/>
      <c r="U99" s="536"/>
      <c r="V99" s="299"/>
    </row>
    <row r="100" spans="1:22" hidden="1" x14ac:dyDescent="0.2">
      <c r="A100" s="396" t="s">
        <v>4236</v>
      </c>
      <c r="B100" s="133" t="s">
        <v>4233</v>
      </c>
      <c r="C100" s="133" t="s">
        <v>4230</v>
      </c>
      <c r="D100" s="399">
        <v>0</v>
      </c>
      <c r="E100" s="399">
        <v>0</v>
      </c>
      <c r="F100" s="399"/>
      <c r="G100" s="399"/>
      <c r="H100" s="399"/>
      <c r="I100" s="399"/>
      <c r="J100" s="399">
        <f t="shared" si="11"/>
        <v>0</v>
      </c>
      <c r="K100" s="399">
        <f t="shared" si="12"/>
        <v>0</v>
      </c>
      <c r="L100" s="399">
        <f t="shared" si="13"/>
        <v>0</v>
      </c>
      <c r="M100" s="399">
        <f t="shared" si="14"/>
        <v>0</v>
      </c>
      <c r="N100" s="399">
        <f t="shared" si="15"/>
        <v>0</v>
      </c>
      <c r="O100" s="399">
        <f t="shared" si="16"/>
        <v>0</v>
      </c>
      <c r="P100" s="399">
        <f t="shared" si="17"/>
        <v>0</v>
      </c>
      <c r="Q100" s="399">
        <f t="shared" si="18"/>
        <v>0</v>
      </c>
      <c r="R100" s="399">
        <f t="shared" si="19"/>
        <v>0</v>
      </c>
      <c r="S100" s="399">
        <f t="shared" si="20"/>
        <v>0</v>
      </c>
      <c r="T100" s="95"/>
      <c r="U100" s="536"/>
      <c r="V100" s="299"/>
    </row>
    <row r="101" spans="1:22" hidden="1" x14ac:dyDescent="0.2">
      <c r="A101" s="396" t="s">
        <v>4236</v>
      </c>
      <c r="B101" s="133" t="s">
        <v>4233</v>
      </c>
      <c r="C101" s="133" t="s">
        <v>4231</v>
      </c>
      <c r="D101" s="399">
        <v>0</v>
      </c>
      <c r="E101" s="399">
        <v>0</v>
      </c>
      <c r="F101" s="399"/>
      <c r="G101" s="399"/>
      <c r="H101" s="399"/>
      <c r="I101" s="399"/>
      <c r="J101" s="399">
        <f t="shared" si="11"/>
        <v>0</v>
      </c>
      <c r="K101" s="399">
        <f t="shared" si="12"/>
        <v>0</v>
      </c>
      <c r="L101" s="399">
        <f t="shared" si="13"/>
        <v>0</v>
      </c>
      <c r="M101" s="399">
        <f t="shared" si="14"/>
        <v>0</v>
      </c>
      <c r="N101" s="399">
        <f t="shared" si="15"/>
        <v>0</v>
      </c>
      <c r="O101" s="399">
        <f t="shared" si="16"/>
        <v>0</v>
      </c>
      <c r="P101" s="399">
        <f t="shared" si="17"/>
        <v>0</v>
      </c>
      <c r="Q101" s="399">
        <f t="shared" si="18"/>
        <v>0</v>
      </c>
      <c r="R101" s="399">
        <f t="shared" si="19"/>
        <v>0</v>
      </c>
      <c r="S101" s="399">
        <f t="shared" si="20"/>
        <v>0</v>
      </c>
      <c r="T101" s="95"/>
      <c r="U101" s="536"/>
      <c r="V101" s="299"/>
    </row>
    <row r="102" spans="1:22" hidden="1" x14ac:dyDescent="0.2">
      <c r="A102" s="396" t="s">
        <v>4236</v>
      </c>
      <c r="B102" s="133" t="s">
        <v>4242</v>
      </c>
      <c r="C102" s="133" t="s">
        <v>4276</v>
      </c>
      <c r="D102" s="399">
        <v>0</v>
      </c>
      <c r="E102" s="399">
        <v>34781</v>
      </c>
      <c r="F102" s="399"/>
      <c r="G102" s="399"/>
      <c r="H102" s="399"/>
      <c r="I102" s="399"/>
      <c r="J102" s="399">
        <f t="shared" si="11"/>
        <v>14906.142857142857</v>
      </c>
      <c r="K102" s="399">
        <f t="shared" si="12"/>
        <v>49687.142857142855</v>
      </c>
      <c r="L102" s="399">
        <f t="shared" si="13"/>
        <v>0</v>
      </c>
      <c r="M102" s="399">
        <f t="shared" si="14"/>
        <v>0</v>
      </c>
      <c r="N102" s="399">
        <f t="shared" si="15"/>
        <v>0</v>
      </c>
      <c r="O102" s="399">
        <f t="shared" si="16"/>
        <v>0</v>
      </c>
      <c r="P102" s="399">
        <f t="shared" si="17"/>
        <v>0</v>
      </c>
      <c r="Q102" s="399">
        <f t="shared" si="18"/>
        <v>0</v>
      </c>
      <c r="R102" s="399">
        <f t="shared" si="19"/>
        <v>0</v>
      </c>
      <c r="S102" s="399">
        <f t="shared" si="20"/>
        <v>0</v>
      </c>
      <c r="T102" s="95"/>
      <c r="U102" s="536"/>
      <c r="V102" s="299"/>
    </row>
    <row r="103" spans="1:22" hidden="1" x14ac:dyDescent="0.2">
      <c r="A103" s="396" t="s">
        <v>4236</v>
      </c>
      <c r="B103" s="133" t="s">
        <v>4234</v>
      </c>
      <c r="C103" s="133"/>
      <c r="D103" s="399">
        <v>0</v>
      </c>
      <c r="E103" s="399">
        <v>34781</v>
      </c>
      <c r="F103" s="399"/>
      <c r="G103" s="399"/>
      <c r="H103" s="399"/>
      <c r="I103" s="399"/>
      <c r="J103" s="399">
        <f t="shared" si="11"/>
        <v>14906.142857142857</v>
      </c>
      <c r="K103" s="399">
        <f t="shared" si="12"/>
        <v>49687.142857142855</v>
      </c>
      <c r="L103" s="399">
        <f t="shared" si="13"/>
        <v>0</v>
      </c>
      <c r="M103" s="399">
        <f t="shared" si="14"/>
        <v>0</v>
      </c>
      <c r="N103" s="399">
        <f t="shared" si="15"/>
        <v>0</v>
      </c>
      <c r="O103" s="399">
        <f t="shared" si="16"/>
        <v>0</v>
      </c>
      <c r="P103" s="399">
        <f t="shared" si="17"/>
        <v>0</v>
      </c>
      <c r="Q103" s="399">
        <f t="shared" si="18"/>
        <v>0</v>
      </c>
      <c r="R103" s="399">
        <f t="shared" si="19"/>
        <v>0</v>
      </c>
      <c r="S103" s="399">
        <f t="shared" si="20"/>
        <v>0</v>
      </c>
      <c r="T103" s="95"/>
      <c r="U103" s="536"/>
      <c r="V103" s="299"/>
    </row>
    <row r="104" spans="1:22" x14ac:dyDescent="0.2">
      <c r="A104" s="396" t="s">
        <v>4236</v>
      </c>
      <c r="B104" s="133" t="s">
        <v>4235</v>
      </c>
      <c r="C104" s="133"/>
      <c r="D104" s="399">
        <v>32.5</v>
      </c>
      <c r="E104" s="399">
        <v>34781</v>
      </c>
      <c r="F104" s="399"/>
      <c r="G104" s="399"/>
      <c r="H104" s="399"/>
      <c r="I104" s="399">
        <v>3000</v>
      </c>
      <c r="J104" s="399">
        <f t="shared" si="11"/>
        <v>14906.142857142857</v>
      </c>
      <c r="K104" s="399">
        <f t="shared" si="12"/>
        <v>52687.142857142855</v>
      </c>
      <c r="L104" s="399">
        <f t="shared" si="13"/>
        <v>0</v>
      </c>
      <c r="M104" s="399">
        <f t="shared" si="14"/>
        <v>1130382.5</v>
      </c>
      <c r="N104" s="399">
        <f t="shared" si="15"/>
        <v>97500</v>
      </c>
      <c r="O104" s="399">
        <f t="shared" si="16"/>
        <v>0</v>
      </c>
      <c r="P104" s="399">
        <f t="shared" si="17"/>
        <v>484449.64285714284</v>
      </c>
      <c r="Q104" s="399">
        <f t="shared" si="18"/>
        <v>0</v>
      </c>
      <c r="R104" s="399">
        <f t="shared" si="19"/>
        <v>1712332.1428571427</v>
      </c>
      <c r="S104" s="399">
        <f t="shared" si="20"/>
        <v>20547985.714285713</v>
      </c>
      <c r="T104" s="95"/>
      <c r="U104" s="536"/>
      <c r="V104" s="299"/>
    </row>
    <row r="105" spans="1:22" hidden="1" x14ac:dyDescent="0.2">
      <c r="A105" s="396" t="s">
        <v>4237</v>
      </c>
      <c r="B105" s="133" t="s">
        <v>4228</v>
      </c>
      <c r="C105" s="133" t="s">
        <v>4229</v>
      </c>
      <c r="D105" s="399">
        <v>0</v>
      </c>
      <c r="E105" s="399">
        <v>0</v>
      </c>
      <c r="F105" s="399"/>
      <c r="G105" s="399"/>
      <c r="H105" s="399"/>
      <c r="I105" s="399"/>
      <c r="J105" s="399">
        <f t="shared" si="11"/>
        <v>0</v>
      </c>
      <c r="K105" s="399">
        <f t="shared" si="12"/>
        <v>0</v>
      </c>
      <c r="L105" s="399">
        <f t="shared" si="13"/>
        <v>0</v>
      </c>
      <c r="M105" s="399">
        <f t="shared" si="14"/>
        <v>0</v>
      </c>
      <c r="N105" s="399">
        <f t="shared" si="15"/>
        <v>0</v>
      </c>
      <c r="O105" s="399">
        <f t="shared" si="16"/>
        <v>0</v>
      </c>
      <c r="P105" s="399">
        <f t="shared" si="17"/>
        <v>0</v>
      </c>
      <c r="Q105" s="399">
        <f t="shared" si="18"/>
        <v>0</v>
      </c>
      <c r="R105" s="399">
        <f t="shared" si="19"/>
        <v>0</v>
      </c>
      <c r="S105" s="399">
        <f t="shared" si="20"/>
        <v>0</v>
      </c>
      <c r="T105" s="95"/>
      <c r="U105" s="536"/>
      <c r="V105" s="299"/>
    </row>
    <row r="106" spans="1:22" hidden="1" x14ac:dyDescent="0.2">
      <c r="A106" s="396" t="s">
        <v>4237</v>
      </c>
      <c r="B106" s="133" t="s">
        <v>4228</v>
      </c>
      <c r="C106" s="133" t="s">
        <v>4275</v>
      </c>
      <c r="D106" s="399">
        <v>0</v>
      </c>
      <c r="E106" s="399">
        <v>0</v>
      </c>
      <c r="F106" s="399"/>
      <c r="G106" s="399"/>
      <c r="H106" s="399"/>
      <c r="I106" s="399"/>
      <c r="J106" s="399">
        <f t="shared" si="11"/>
        <v>0</v>
      </c>
      <c r="K106" s="399">
        <f t="shared" si="12"/>
        <v>0</v>
      </c>
      <c r="L106" s="399">
        <f t="shared" si="13"/>
        <v>0</v>
      </c>
      <c r="M106" s="399">
        <f t="shared" si="14"/>
        <v>0</v>
      </c>
      <c r="N106" s="399">
        <f t="shared" si="15"/>
        <v>0</v>
      </c>
      <c r="O106" s="399">
        <f t="shared" si="16"/>
        <v>0</v>
      </c>
      <c r="P106" s="399">
        <f t="shared" si="17"/>
        <v>0</v>
      </c>
      <c r="Q106" s="399">
        <f t="shared" si="18"/>
        <v>0</v>
      </c>
      <c r="R106" s="399">
        <f t="shared" si="19"/>
        <v>0</v>
      </c>
      <c r="S106" s="399">
        <f t="shared" si="20"/>
        <v>0</v>
      </c>
      <c r="T106" s="95"/>
      <c r="U106" s="536"/>
      <c r="V106" s="299"/>
    </row>
    <row r="107" spans="1:22" hidden="1" x14ac:dyDescent="0.2">
      <c r="A107" s="396" t="s">
        <v>4237</v>
      </c>
      <c r="B107" s="133" t="s">
        <v>4228</v>
      </c>
      <c r="C107" s="133" t="s">
        <v>4230</v>
      </c>
      <c r="D107" s="399">
        <v>0</v>
      </c>
      <c r="E107" s="399">
        <v>0</v>
      </c>
      <c r="F107" s="399"/>
      <c r="G107" s="399"/>
      <c r="H107" s="399"/>
      <c r="I107" s="399"/>
      <c r="J107" s="399">
        <f t="shared" si="11"/>
        <v>0</v>
      </c>
      <c r="K107" s="399">
        <f t="shared" si="12"/>
        <v>0</v>
      </c>
      <c r="L107" s="399">
        <f t="shared" si="13"/>
        <v>0</v>
      </c>
      <c r="M107" s="399">
        <f t="shared" si="14"/>
        <v>0</v>
      </c>
      <c r="N107" s="399">
        <f t="shared" si="15"/>
        <v>0</v>
      </c>
      <c r="O107" s="399">
        <f t="shared" si="16"/>
        <v>0</v>
      </c>
      <c r="P107" s="399">
        <f t="shared" si="17"/>
        <v>0</v>
      </c>
      <c r="Q107" s="399">
        <f t="shared" si="18"/>
        <v>0</v>
      </c>
      <c r="R107" s="399">
        <f t="shared" si="19"/>
        <v>0</v>
      </c>
      <c r="S107" s="399">
        <f t="shared" si="20"/>
        <v>0</v>
      </c>
      <c r="T107" s="95"/>
      <c r="U107" s="536"/>
      <c r="V107" s="299"/>
    </row>
    <row r="108" spans="1:22" hidden="1" x14ac:dyDescent="0.2">
      <c r="A108" s="396" t="s">
        <v>4237</v>
      </c>
      <c r="B108" s="133" t="s">
        <v>4228</v>
      </c>
      <c r="C108" s="133" t="s">
        <v>4231</v>
      </c>
      <c r="D108" s="399">
        <v>0</v>
      </c>
      <c r="E108" s="399">
        <v>0</v>
      </c>
      <c r="F108" s="399"/>
      <c r="G108" s="399"/>
      <c r="H108" s="399"/>
      <c r="I108" s="399"/>
      <c r="J108" s="399">
        <f t="shared" si="11"/>
        <v>0</v>
      </c>
      <c r="K108" s="399">
        <f t="shared" si="12"/>
        <v>0</v>
      </c>
      <c r="L108" s="399">
        <f t="shared" si="13"/>
        <v>0</v>
      </c>
      <c r="M108" s="399">
        <f t="shared" si="14"/>
        <v>0</v>
      </c>
      <c r="N108" s="399">
        <f t="shared" si="15"/>
        <v>0</v>
      </c>
      <c r="O108" s="399">
        <f t="shared" si="16"/>
        <v>0</v>
      </c>
      <c r="P108" s="399">
        <f t="shared" si="17"/>
        <v>0</v>
      </c>
      <c r="Q108" s="399">
        <f t="shared" si="18"/>
        <v>0</v>
      </c>
      <c r="R108" s="399">
        <f t="shared" si="19"/>
        <v>0</v>
      </c>
      <c r="S108" s="399">
        <f t="shared" si="20"/>
        <v>0</v>
      </c>
      <c r="T108" s="95"/>
      <c r="U108" s="536"/>
      <c r="V108" s="299"/>
    </row>
    <row r="109" spans="1:22" hidden="1" x14ac:dyDescent="0.2">
      <c r="A109" s="396" t="s">
        <v>4237</v>
      </c>
      <c r="B109" s="133" t="s">
        <v>4228</v>
      </c>
      <c r="C109" s="133" t="s">
        <v>4273</v>
      </c>
      <c r="D109" s="399">
        <v>0</v>
      </c>
      <c r="E109" s="399">
        <v>0</v>
      </c>
      <c r="F109" s="399"/>
      <c r="G109" s="399"/>
      <c r="H109" s="399"/>
      <c r="I109" s="399"/>
      <c r="J109" s="399">
        <f t="shared" si="11"/>
        <v>0</v>
      </c>
      <c r="K109" s="399">
        <f t="shared" si="12"/>
        <v>0</v>
      </c>
      <c r="L109" s="399">
        <f t="shared" si="13"/>
        <v>0</v>
      </c>
      <c r="M109" s="399">
        <f t="shared" si="14"/>
        <v>0</v>
      </c>
      <c r="N109" s="399">
        <f t="shared" si="15"/>
        <v>0</v>
      </c>
      <c r="O109" s="399">
        <f t="shared" si="16"/>
        <v>0</v>
      </c>
      <c r="P109" s="399">
        <f t="shared" si="17"/>
        <v>0</v>
      </c>
      <c r="Q109" s="399">
        <f t="shared" si="18"/>
        <v>0</v>
      </c>
      <c r="R109" s="399">
        <f t="shared" si="19"/>
        <v>0</v>
      </c>
      <c r="S109" s="399">
        <f t="shared" si="20"/>
        <v>0</v>
      </c>
      <c r="T109" s="95"/>
      <c r="U109" s="536"/>
      <c r="V109" s="299"/>
    </row>
    <row r="110" spans="1:22" hidden="1" x14ac:dyDescent="0.2">
      <c r="A110" s="396" t="s">
        <v>4237</v>
      </c>
      <c r="B110" s="133" t="s">
        <v>4228</v>
      </c>
      <c r="C110" s="133" t="s">
        <v>4271</v>
      </c>
      <c r="D110" s="399">
        <v>0</v>
      </c>
      <c r="E110" s="399">
        <v>0</v>
      </c>
      <c r="F110" s="399"/>
      <c r="G110" s="399"/>
      <c r="H110" s="399"/>
      <c r="I110" s="399"/>
      <c r="J110" s="399">
        <f t="shared" si="11"/>
        <v>0</v>
      </c>
      <c r="K110" s="399">
        <f t="shared" si="12"/>
        <v>0</v>
      </c>
      <c r="L110" s="399">
        <f t="shared" si="13"/>
        <v>0</v>
      </c>
      <c r="M110" s="399">
        <f t="shared" si="14"/>
        <v>0</v>
      </c>
      <c r="N110" s="399">
        <f t="shared" si="15"/>
        <v>0</v>
      </c>
      <c r="O110" s="399">
        <f t="shared" si="16"/>
        <v>0</v>
      </c>
      <c r="P110" s="399">
        <f t="shared" si="17"/>
        <v>0</v>
      </c>
      <c r="Q110" s="399">
        <f t="shared" si="18"/>
        <v>0</v>
      </c>
      <c r="R110" s="399">
        <f t="shared" si="19"/>
        <v>0</v>
      </c>
      <c r="S110" s="399">
        <f t="shared" si="20"/>
        <v>0</v>
      </c>
      <c r="T110" s="95"/>
      <c r="U110" s="536"/>
      <c r="V110" s="299"/>
    </row>
    <row r="111" spans="1:22" hidden="1" x14ac:dyDescent="0.2">
      <c r="A111" s="396" t="s">
        <v>4237</v>
      </c>
      <c r="B111" s="133" t="s">
        <v>4232</v>
      </c>
      <c r="C111" s="133" t="s">
        <v>4229</v>
      </c>
      <c r="D111" s="399">
        <v>0</v>
      </c>
      <c r="E111" s="399">
        <v>0</v>
      </c>
      <c r="F111" s="399"/>
      <c r="G111" s="399"/>
      <c r="H111" s="399"/>
      <c r="I111" s="399"/>
      <c r="J111" s="399">
        <f t="shared" si="11"/>
        <v>0</v>
      </c>
      <c r="K111" s="399">
        <f t="shared" si="12"/>
        <v>0</v>
      </c>
      <c r="L111" s="399">
        <f t="shared" si="13"/>
        <v>0</v>
      </c>
      <c r="M111" s="399">
        <f t="shared" si="14"/>
        <v>0</v>
      </c>
      <c r="N111" s="399">
        <f t="shared" si="15"/>
        <v>0</v>
      </c>
      <c r="O111" s="399">
        <f t="shared" si="16"/>
        <v>0</v>
      </c>
      <c r="P111" s="399">
        <f t="shared" si="17"/>
        <v>0</v>
      </c>
      <c r="Q111" s="399">
        <f t="shared" si="18"/>
        <v>0</v>
      </c>
      <c r="R111" s="399">
        <f t="shared" si="19"/>
        <v>0</v>
      </c>
      <c r="S111" s="399">
        <f t="shared" si="20"/>
        <v>0</v>
      </c>
      <c r="T111" s="95"/>
      <c r="U111" s="536"/>
      <c r="V111" s="299"/>
    </row>
    <row r="112" spans="1:22" hidden="1" x14ac:dyDescent="0.2">
      <c r="A112" s="396" t="s">
        <v>4237</v>
      </c>
      <c r="B112" s="133" t="s">
        <v>4232</v>
      </c>
      <c r="C112" s="133" t="s">
        <v>4275</v>
      </c>
      <c r="D112" s="399">
        <v>0</v>
      </c>
      <c r="E112" s="399">
        <v>0</v>
      </c>
      <c r="F112" s="399"/>
      <c r="G112" s="399"/>
      <c r="H112" s="399"/>
      <c r="I112" s="399"/>
      <c r="J112" s="399">
        <f t="shared" si="11"/>
        <v>0</v>
      </c>
      <c r="K112" s="399">
        <f t="shared" si="12"/>
        <v>0</v>
      </c>
      <c r="L112" s="399">
        <f t="shared" si="13"/>
        <v>0</v>
      </c>
      <c r="M112" s="399">
        <f t="shared" si="14"/>
        <v>0</v>
      </c>
      <c r="N112" s="399">
        <f t="shared" si="15"/>
        <v>0</v>
      </c>
      <c r="O112" s="399">
        <f t="shared" si="16"/>
        <v>0</v>
      </c>
      <c r="P112" s="399">
        <f t="shared" si="17"/>
        <v>0</v>
      </c>
      <c r="Q112" s="399">
        <f t="shared" si="18"/>
        <v>0</v>
      </c>
      <c r="R112" s="399">
        <f t="shared" si="19"/>
        <v>0</v>
      </c>
      <c r="S112" s="399">
        <f t="shared" si="20"/>
        <v>0</v>
      </c>
      <c r="T112" s="95"/>
      <c r="U112" s="536"/>
      <c r="V112" s="299"/>
    </row>
    <row r="113" spans="1:22" hidden="1" x14ac:dyDescent="0.2">
      <c r="A113" s="396" t="s">
        <v>4237</v>
      </c>
      <c r="B113" s="133" t="s">
        <v>4232</v>
      </c>
      <c r="C113" s="133" t="s">
        <v>4230</v>
      </c>
      <c r="D113" s="399">
        <v>0</v>
      </c>
      <c r="E113" s="399">
        <v>0</v>
      </c>
      <c r="F113" s="399"/>
      <c r="G113" s="399"/>
      <c r="H113" s="399"/>
      <c r="I113" s="399"/>
      <c r="J113" s="399">
        <f t="shared" si="11"/>
        <v>0</v>
      </c>
      <c r="K113" s="399">
        <f t="shared" si="12"/>
        <v>0</v>
      </c>
      <c r="L113" s="399">
        <f t="shared" si="13"/>
        <v>0</v>
      </c>
      <c r="M113" s="399">
        <f t="shared" si="14"/>
        <v>0</v>
      </c>
      <c r="N113" s="399">
        <f t="shared" si="15"/>
        <v>0</v>
      </c>
      <c r="O113" s="399">
        <f t="shared" si="16"/>
        <v>0</v>
      </c>
      <c r="P113" s="399">
        <f t="shared" si="17"/>
        <v>0</v>
      </c>
      <c r="Q113" s="399">
        <f t="shared" si="18"/>
        <v>0</v>
      </c>
      <c r="R113" s="399">
        <f t="shared" si="19"/>
        <v>0</v>
      </c>
      <c r="S113" s="399">
        <f t="shared" si="20"/>
        <v>0</v>
      </c>
      <c r="T113" s="95"/>
      <c r="U113" s="536"/>
      <c r="V113" s="299"/>
    </row>
    <row r="114" spans="1:22" hidden="1" x14ac:dyDescent="0.2">
      <c r="A114" s="396" t="s">
        <v>4237</v>
      </c>
      <c r="B114" s="133" t="s">
        <v>4232</v>
      </c>
      <c r="C114" s="133" t="s">
        <v>4231</v>
      </c>
      <c r="D114" s="399">
        <v>0</v>
      </c>
      <c r="E114" s="399">
        <v>0</v>
      </c>
      <c r="F114" s="399"/>
      <c r="G114" s="399"/>
      <c r="H114" s="399"/>
      <c r="I114" s="399"/>
      <c r="J114" s="399">
        <f t="shared" si="11"/>
        <v>0</v>
      </c>
      <c r="K114" s="399">
        <f t="shared" si="12"/>
        <v>0</v>
      </c>
      <c r="L114" s="399">
        <f t="shared" si="13"/>
        <v>0</v>
      </c>
      <c r="M114" s="399">
        <f t="shared" si="14"/>
        <v>0</v>
      </c>
      <c r="N114" s="399">
        <f t="shared" si="15"/>
        <v>0</v>
      </c>
      <c r="O114" s="399">
        <f t="shared" si="16"/>
        <v>0</v>
      </c>
      <c r="P114" s="399">
        <f t="shared" si="17"/>
        <v>0</v>
      </c>
      <c r="Q114" s="399">
        <f t="shared" si="18"/>
        <v>0</v>
      </c>
      <c r="R114" s="399">
        <f t="shared" si="19"/>
        <v>0</v>
      </c>
      <c r="S114" s="399">
        <f t="shared" si="20"/>
        <v>0</v>
      </c>
      <c r="T114" s="95"/>
      <c r="U114" s="536"/>
      <c r="V114" s="299"/>
    </row>
    <row r="115" spans="1:22" hidden="1" x14ac:dyDescent="0.2">
      <c r="A115" s="396" t="s">
        <v>4237</v>
      </c>
      <c r="B115" s="133" t="s">
        <v>4232</v>
      </c>
      <c r="C115" s="133" t="s">
        <v>4273</v>
      </c>
      <c r="D115" s="399">
        <v>0</v>
      </c>
      <c r="E115" s="399">
        <v>0</v>
      </c>
      <c r="F115" s="399"/>
      <c r="G115" s="399"/>
      <c r="H115" s="399"/>
      <c r="I115" s="399"/>
      <c r="J115" s="399">
        <f t="shared" si="11"/>
        <v>0</v>
      </c>
      <c r="K115" s="399">
        <f t="shared" si="12"/>
        <v>0</v>
      </c>
      <c r="L115" s="399">
        <f t="shared" si="13"/>
        <v>0</v>
      </c>
      <c r="M115" s="399">
        <f t="shared" si="14"/>
        <v>0</v>
      </c>
      <c r="N115" s="399">
        <f t="shared" si="15"/>
        <v>0</v>
      </c>
      <c r="O115" s="399">
        <f t="shared" si="16"/>
        <v>0</v>
      </c>
      <c r="P115" s="399">
        <f t="shared" si="17"/>
        <v>0</v>
      </c>
      <c r="Q115" s="399">
        <f t="shared" si="18"/>
        <v>0</v>
      </c>
      <c r="R115" s="399">
        <f t="shared" si="19"/>
        <v>0</v>
      </c>
      <c r="S115" s="399">
        <f t="shared" si="20"/>
        <v>0</v>
      </c>
      <c r="T115" s="95"/>
      <c r="U115" s="536"/>
      <c r="V115" s="299"/>
    </row>
    <row r="116" spans="1:22" hidden="1" x14ac:dyDescent="0.2">
      <c r="A116" s="396" t="s">
        <v>4237</v>
      </c>
      <c r="B116" s="133" t="s">
        <v>4232</v>
      </c>
      <c r="C116" s="133" t="s">
        <v>4271</v>
      </c>
      <c r="D116" s="399">
        <v>0</v>
      </c>
      <c r="E116" s="399">
        <v>0</v>
      </c>
      <c r="F116" s="399"/>
      <c r="G116" s="399"/>
      <c r="H116" s="399"/>
      <c r="I116" s="399"/>
      <c r="J116" s="399">
        <f t="shared" si="11"/>
        <v>0</v>
      </c>
      <c r="K116" s="399">
        <f t="shared" si="12"/>
        <v>0</v>
      </c>
      <c r="L116" s="399">
        <f t="shared" si="13"/>
        <v>0</v>
      </c>
      <c r="M116" s="399">
        <f t="shared" si="14"/>
        <v>0</v>
      </c>
      <c r="N116" s="399">
        <f t="shared" si="15"/>
        <v>0</v>
      </c>
      <c r="O116" s="399">
        <f t="shared" si="16"/>
        <v>0</v>
      </c>
      <c r="P116" s="399">
        <f t="shared" si="17"/>
        <v>0</v>
      </c>
      <c r="Q116" s="399">
        <f t="shared" si="18"/>
        <v>0</v>
      </c>
      <c r="R116" s="399">
        <f t="shared" si="19"/>
        <v>0</v>
      </c>
      <c r="S116" s="399">
        <f t="shared" si="20"/>
        <v>0</v>
      </c>
      <c r="T116" s="95"/>
      <c r="U116" s="536"/>
      <c r="V116" s="299"/>
    </row>
    <row r="117" spans="1:22" hidden="1" x14ac:dyDescent="0.2">
      <c r="A117" s="396" t="s">
        <v>4237</v>
      </c>
      <c r="B117" s="133" t="s">
        <v>4233</v>
      </c>
      <c r="C117" s="133" t="s">
        <v>4229</v>
      </c>
      <c r="D117" s="399">
        <v>0</v>
      </c>
      <c r="E117" s="399">
        <v>0</v>
      </c>
      <c r="F117" s="399"/>
      <c r="G117" s="399"/>
      <c r="H117" s="399"/>
      <c r="I117" s="399"/>
      <c r="J117" s="399">
        <f t="shared" si="11"/>
        <v>0</v>
      </c>
      <c r="K117" s="399">
        <f t="shared" si="12"/>
        <v>0</v>
      </c>
      <c r="L117" s="399">
        <f t="shared" si="13"/>
        <v>0</v>
      </c>
      <c r="M117" s="399">
        <f t="shared" si="14"/>
        <v>0</v>
      </c>
      <c r="N117" s="399">
        <f t="shared" si="15"/>
        <v>0</v>
      </c>
      <c r="O117" s="399">
        <f t="shared" si="16"/>
        <v>0</v>
      </c>
      <c r="P117" s="399">
        <f t="shared" si="17"/>
        <v>0</v>
      </c>
      <c r="Q117" s="399">
        <f t="shared" si="18"/>
        <v>0</v>
      </c>
      <c r="R117" s="399">
        <f t="shared" si="19"/>
        <v>0</v>
      </c>
      <c r="S117" s="399">
        <f t="shared" si="20"/>
        <v>0</v>
      </c>
      <c r="T117" s="95"/>
      <c r="U117" s="536"/>
      <c r="V117" s="299"/>
    </row>
    <row r="118" spans="1:22" hidden="1" x14ac:dyDescent="0.2">
      <c r="A118" s="396" t="s">
        <v>4237</v>
      </c>
      <c r="B118" s="133" t="s">
        <v>4233</v>
      </c>
      <c r="C118" s="133" t="s">
        <v>4275</v>
      </c>
      <c r="D118" s="399">
        <v>0</v>
      </c>
      <c r="E118" s="399">
        <v>0</v>
      </c>
      <c r="F118" s="399"/>
      <c r="G118" s="399"/>
      <c r="H118" s="399"/>
      <c r="I118" s="399"/>
      <c r="J118" s="399">
        <f t="shared" si="11"/>
        <v>0</v>
      </c>
      <c r="K118" s="399">
        <f t="shared" si="12"/>
        <v>0</v>
      </c>
      <c r="L118" s="399">
        <f t="shared" si="13"/>
        <v>0</v>
      </c>
      <c r="M118" s="399">
        <f t="shared" si="14"/>
        <v>0</v>
      </c>
      <c r="N118" s="399">
        <f t="shared" si="15"/>
        <v>0</v>
      </c>
      <c r="O118" s="399">
        <f t="shared" si="16"/>
        <v>0</v>
      </c>
      <c r="P118" s="399">
        <f t="shared" si="17"/>
        <v>0</v>
      </c>
      <c r="Q118" s="399">
        <f t="shared" si="18"/>
        <v>0</v>
      </c>
      <c r="R118" s="399">
        <f t="shared" si="19"/>
        <v>0</v>
      </c>
      <c r="S118" s="399">
        <f t="shared" si="20"/>
        <v>0</v>
      </c>
      <c r="T118" s="95"/>
      <c r="U118" s="536"/>
      <c r="V118" s="299"/>
    </row>
    <row r="119" spans="1:22" hidden="1" x14ac:dyDescent="0.2">
      <c r="A119" s="396" t="s">
        <v>4237</v>
      </c>
      <c r="B119" s="133" t="s">
        <v>4233</v>
      </c>
      <c r="C119" s="133" t="s">
        <v>4230</v>
      </c>
      <c r="D119" s="399">
        <v>0</v>
      </c>
      <c r="E119" s="399">
        <v>0</v>
      </c>
      <c r="F119" s="399"/>
      <c r="G119" s="399"/>
      <c r="H119" s="399"/>
      <c r="I119" s="399"/>
      <c r="J119" s="399">
        <f t="shared" si="11"/>
        <v>0</v>
      </c>
      <c r="K119" s="399">
        <f t="shared" si="12"/>
        <v>0</v>
      </c>
      <c r="L119" s="399">
        <f t="shared" si="13"/>
        <v>0</v>
      </c>
      <c r="M119" s="399">
        <f t="shared" si="14"/>
        <v>0</v>
      </c>
      <c r="N119" s="399">
        <f t="shared" si="15"/>
        <v>0</v>
      </c>
      <c r="O119" s="399">
        <f t="shared" si="16"/>
        <v>0</v>
      </c>
      <c r="P119" s="399">
        <f t="shared" si="17"/>
        <v>0</v>
      </c>
      <c r="Q119" s="399">
        <f t="shared" si="18"/>
        <v>0</v>
      </c>
      <c r="R119" s="399">
        <f t="shared" si="19"/>
        <v>0</v>
      </c>
      <c r="S119" s="399">
        <f t="shared" si="20"/>
        <v>0</v>
      </c>
      <c r="T119" s="95"/>
      <c r="U119" s="536"/>
      <c r="V119" s="299"/>
    </row>
    <row r="120" spans="1:22" hidden="1" x14ac:dyDescent="0.2">
      <c r="A120" s="396" t="s">
        <v>4237</v>
      </c>
      <c r="B120" s="133" t="s">
        <v>4233</v>
      </c>
      <c r="C120" s="133" t="s">
        <v>4231</v>
      </c>
      <c r="D120" s="399">
        <v>0</v>
      </c>
      <c r="E120" s="399">
        <v>0</v>
      </c>
      <c r="F120" s="399"/>
      <c r="G120" s="399"/>
      <c r="H120" s="399"/>
      <c r="I120" s="399"/>
      <c r="J120" s="399">
        <f t="shared" si="11"/>
        <v>0</v>
      </c>
      <c r="K120" s="399">
        <f t="shared" si="12"/>
        <v>0</v>
      </c>
      <c r="L120" s="399">
        <f t="shared" si="13"/>
        <v>0</v>
      </c>
      <c r="M120" s="399">
        <f t="shared" si="14"/>
        <v>0</v>
      </c>
      <c r="N120" s="399">
        <f t="shared" si="15"/>
        <v>0</v>
      </c>
      <c r="O120" s="399">
        <f t="shared" si="16"/>
        <v>0</v>
      </c>
      <c r="P120" s="399">
        <f t="shared" si="17"/>
        <v>0</v>
      </c>
      <c r="Q120" s="399">
        <f t="shared" si="18"/>
        <v>0</v>
      </c>
      <c r="R120" s="399">
        <f t="shared" si="19"/>
        <v>0</v>
      </c>
      <c r="S120" s="399">
        <f t="shared" si="20"/>
        <v>0</v>
      </c>
      <c r="T120" s="95"/>
      <c r="U120" s="536"/>
      <c r="V120" s="299"/>
    </row>
    <row r="121" spans="1:22" hidden="1" x14ac:dyDescent="0.2">
      <c r="A121" s="396" t="s">
        <v>4237</v>
      </c>
      <c r="B121" s="133" t="s">
        <v>4242</v>
      </c>
      <c r="C121" s="133" t="s">
        <v>4276</v>
      </c>
      <c r="D121" s="399">
        <v>0</v>
      </c>
      <c r="E121" s="399">
        <v>34781</v>
      </c>
      <c r="F121" s="399"/>
      <c r="G121" s="399"/>
      <c r="H121" s="399"/>
      <c r="I121" s="399"/>
      <c r="J121" s="399">
        <f t="shared" si="11"/>
        <v>14906.142857142857</v>
      </c>
      <c r="K121" s="399">
        <f t="shared" si="12"/>
        <v>49687.142857142855</v>
      </c>
      <c r="L121" s="399">
        <f t="shared" si="13"/>
        <v>0</v>
      </c>
      <c r="M121" s="399">
        <f t="shared" si="14"/>
        <v>0</v>
      </c>
      <c r="N121" s="399">
        <f t="shared" si="15"/>
        <v>0</v>
      </c>
      <c r="O121" s="399">
        <f t="shared" si="16"/>
        <v>0</v>
      </c>
      <c r="P121" s="399">
        <f t="shared" si="17"/>
        <v>0</v>
      </c>
      <c r="Q121" s="399">
        <f t="shared" si="18"/>
        <v>0</v>
      </c>
      <c r="R121" s="399">
        <f t="shared" si="19"/>
        <v>0</v>
      </c>
      <c r="S121" s="399">
        <f t="shared" si="20"/>
        <v>0</v>
      </c>
      <c r="T121" s="95"/>
      <c r="U121" s="536"/>
      <c r="V121" s="299"/>
    </row>
    <row r="122" spans="1:22" x14ac:dyDescent="0.2">
      <c r="A122" s="396" t="s">
        <v>4237</v>
      </c>
      <c r="B122" s="133" t="s">
        <v>4234</v>
      </c>
      <c r="C122" s="133"/>
      <c r="D122" s="399">
        <v>7.302083333333333</v>
      </c>
      <c r="E122" s="399">
        <v>34781</v>
      </c>
      <c r="F122" s="399"/>
      <c r="G122" s="399"/>
      <c r="H122" s="399"/>
      <c r="I122" s="399"/>
      <c r="J122" s="399">
        <f t="shared" si="11"/>
        <v>14906.142857142857</v>
      </c>
      <c r="K122" s="399">
        <f t="shared" si="12"/>
        <v>49687.142857142855</v>
      </c>
      <c r="L122" s="399">
        <f t="shared" si="13"/>
        <v>0</v>
      </c>
      <c r="M122" s="399">
        <f t="shared" si="14"/>
        <v>253973.76041666666</v>
      </c>
      <c r="N122" s="399">
        <f t="shared" si="15"/>
        <v>0</v>
      </c>
      <c r="O122" s="399">
        <f t="shared" si="16"/>
        <v>0</v>
      </c>
      <c r="P122" s="399">
        <f t="shared" si="17"/>
        <v>108845.89732142857</v>
      </c>
      <c r="Q122" s="399">
        <f t="shared" si="18"/>
        <v>0</v>
      </c>
      <c r="R122" s="399">
        <f t="shared" si="19"/>
        <v>362819.65773809521</v>
      </c>
      <c r="S122" s="399">
        <f t="shared" si="20"/>
        <v>4353835.8928571427</v>
      </c>
      <c r="T122" s="95"/>
      <c r="U122" s="536"/>
      <c r="V122" s="299"/>
    </row>
    <row r="123" spans="1:22" hidden="1" x14ac:dyDescent="0.2">
      <c r="A123" s="396" t="s">
        <v>4237</v>
      </c>
      <c r="B123" s="133" t="s">
        <v>4235</v>
      </c>
      <c r="C123" s="133"/>
      <c r="D123" s="399">
        <v>0</v>
      </c>
      <c r="E123" s="399">
        <v>34781</v>
      </c>
      <c r="F123" s="399"/>
      <c r="G123" s="399"/>
      <c r="H123" s="399"/>
      <c r="I123" s="399"/>
      <c r="J123" s="399">
        <f t="shared" si="11"/>
        <v>14906.142857142857</v>
      </c>
      <c r="K123" s="399">
        <f t="shared" si="12"/>
        <v>49687.142857142855</v>
      </c>
      <c r="L123" s="399">
        <f t="shared" si="13"/>
        <v>0</v>
      </c>
      <c r="M123" s="399">
        <f t="shared" si="14"/>
        <v>0</v>
      </c>
      <c r="N123" s="399">
        <f t="shared" si="15"/>
        <v>0</v>
      </c>
      <c r="O123" s="399">
        <f t="shared" si="16"/>
        <v>0</v>
      </c>
      <c r="P123" s="399">
        <f t="shared" si="17"/>
        <v>0</v>
      </c>
      <c r="Q123" s="399">
        <f t="shared" si="18"/>
        <v>0</v>
      </c>
      <c r="R123" s="399">
        <f t="shared" si="19"/>
        <v>0</v>
      </c>
      <c r="S123" s="399">
        <f t="shared" si="20"/>
        <v>0</v>
      </c>
      <c r="T123" s="95"/>
      <c r="U123" s="536"/>
      <c r="V123" s="299"/>
    </row>
    <row r="124" spans="1:22" hidden="1" x14ac:dyDescent="0.2">
      <c r="A124" s="396" t="s">
        <v>4272</v>
      </c>
      <c r="B124" s="133" t="s">
        <v>4228</v>
      </c>
      <c r="C124" s="133" t="s">
        <v>4229</v>
      </c>
      <c r="D124" s="399"/>
      <c r="E124" s="399">
        <v>0</v>
      </c>
      <c r="F124" s="399"/>
      <c r="G124" s="399"/>
      <c r="H124" s="399"/>
      <c r="I124" s="399"/>
      <c r="J124" s="399">
        <f t="shared" si="11"/>
        <v>0</v>
      </c>
      <c r="K124" s="399">
        <f t="shared" si="12"/>
        <v>0</v>
      </c>
      <c r="L124" s="399">
        <f t="shared" si="13"/>
        <v>0</v>
      </c>
      <c r="M124" s="399">
        <f t="shared" si="14"/>
        <v>0</v>
      </c>
      <c r="N124" s="399">
        <f t="shared" si="15"/>
        <v>0</v>
      </c>
      <c r="O124" s="399">
        <f t="shared" si="16"/>
        <v>0</v>
      </c>
      <c r="P124" s="399">
        <f t="shared" si="17"/>
        <v>0</v>
      </c>
      <c r="Q124" s="399">
        <f t="shared" si="18"/>
        <v>0</v>
      </c>
      <c r="R124" s="399">
        <f t="shared" si="19"/>
        <v>0</v>
      </c>
      <c r="S124" s="399">
        <f t="shared" si="20"/>
        <v>0</v>
      </c>
      <c r="T124" s="95"/>
      <c r="U124" s="536"/>
      <c r="V124" s="299"/>
    </row>
    <row r="125" spans="1:22" hidden="1" x14ac:dyDescent="0.2">
      <c r="A125" s="396" t="s">
        <v>4272</v>
      </c>
      <c r="B125" s="133" t="s">
        <v>4228</v>
      </c>
      <c r="C125" s="133" t="s">
        <v>4275</v>
      </c>
      <c r="D125" s="399"/>
      <c r="E125" s="399">
        <v>0</v>
      </c>
      <c r="F125" s="399"/>
      <c r="G125" s="399"/>
      <c r="H125" s="399"/>
      <c r="I125" s="399"/>
      <c r="J125" s="399">
        <f t="shared" si="11"/>
        <v>0</v>
      </c>
      <c r="K125" s="399">
        <f t="shared" si="12"/>
        <v>0</v>
      </c>
      <c r="L125" s="399">
        <f t="shared" si="13"/>
        <v>0</v>
      </c>
      <c r="M125" s="399">
        <f t="shared" si="14"/>
        <v>0</v>
      </c>
      <c r="N125" s="399">
        <f t="shared" si="15"/>
        <v>0</v>
      </c>
      <c r="O125" s="399">
        <f t="shared" si="16"/>
        <v>0</v>
      </c>
      <c r="P125" s="399">
        <f t="shared" si="17"/>
        <v>0</v>
      </c>
      <c r="Q125" s="399">
        <f t="shared" si="18"/>
        <v>0</v>
      </c>
      <c r="R125" s="399">
        <f t="shared" si="19"/>
        <v>0</v>
      </c>
      <c r="S125" s="399">
        <f t="shared" si="20"/>
        <v>0</v>
      </c>
      <c r="T125" s="95"/>
      <c r="U125" s="536"/>
      <c r="V125" s="299"/>
    </row>
    <row r="126" spans="1:22" hidden="1" x14ac:dyDescent="0.2">
      <c r="A126" s="396" t="s">
        <v>4272</v>
      </c>
      <c r="B126" s="133" t="s">
        <v>4228</v>
      </c>
      <c r="C126" s="133" t="s">
        <v>4230</v>
      </c>
      <c r="D126" s="399"/>
      <c r="E126" s="399">
        <v>0</v>
      </c>
      <c r="F126" s="399"/>
      <c r="G126" s="399"/>
      <c r="H126" s="399"/>
      <c r="I126" s="399"/>
      <c r="J126" s="399">
        <f t="shared" si="11"/>
        <v>0</v>
      </c>
      <c r="K126" s="399">
        <f t="shared" si="12"/>
        <v>0</v>
      </c>
      <c r="L126" s="399">
        <f t="shared" si="13"/>
        <v>0</v>
      </c>
      <c r="M126" s="399">
        <f t="shared" si="14"/>
        <v>0</v>
      </c>
      <c r="N126" s="399">
        <f t="shared" si="15"/>
        <v>0</v>
      </c>
      <c r="O126" s="399">
        <f t="shared" si="16"/>
        <v>0</v>
      </c>
      <c r="P126" s="399">
        <f t="shared" si="17"/>
        <v>0</v>
      </c>
      <c r="Q126" s="399">
        <f t="shared" si="18"/>
        <v>0</v>
      </c>
      <c r="R126" s="399">
        <f t="shared" si="19"/>
        <v>0</v>
      </c>
      <c r="S126" s="399">
        <f t="shared" si="20"/>
        <v>0</v>
      </c>
      <c r="T126" s="95"/>
      <c r="U126" s="536"/>
      <c r="V126" s="299"/>
    </row>
    <row r="127" spans="1:22" hidden="1" x14ac:dyDescent="0.2">
      <c r="A127" s="396" t="s">
        <v>4272</v>
      </c>
      <c r="B127" s="133" t="s">
        <v>4228</v>
      </c>
      <c r="C127" s="133" t="s">
        <v>4231</v>
      </c>
      <c r="D127" s="399"/>
      <c r="E127" s="399">
        <v>0</v>
      </c>
      <c r="F127" s="399"/>
      <c r="G127" s="399"/>
      <c r="H127" s="399"/>
      <c r="I127" s="399"/>
      <c r="J127" s="399">
        <f t="shared" si="11"/>
        <v>0</v>
      </c>
      <c r="K127" s="399">
        <f t="shared" si="12"/>
        <v>0</v>
      </c>
      <c r="L127" s="399">
        <f t="shared" si="13"/>
        <v>0</v>
      </c>
      <c r="M127" s="399">
        <f t="shared" si="14"/>
        <v>0</v>
      </c>
      <c r="N127" s="399">
        <f t="shared" si="15"/>
        <v>0</v>
      </c>
      <c r="O127" s="399">
        <f t="shared" si="16"/>
        <v>0</v>
      </c>
      <c r="P127" s="399">
        <f t="shared" si="17"/>
        <v>0</v>
      </c>
      <c r="Q127" s="399">
        <f t="shared" si="18"/>
        <v>0</v>
      </c>
      <c r="R127" s="399">
        <f t="shared" si="19"/>
        <v>0</v>
      </c>
      <c r="S127" s="399">
        <f t="shared" si="20"/>
        <v>0</v>
      </c>
      <c r="T127" s="95"/>
      <c r="U127" s="536"/>
      <c r="V127" s="299"/>
    </row>
    <row r="128" spans="1:22" hidden="1" x14ac:dyDescent="0.2">
      <c r="A128" s="396" t="s">
        <v>4272</v>
      </c>
      <c r="B128" s="133" t="s">
        <v>4228</v>
      </c>
      <c r="C128" s="133" t="s">
        <v>4273</v>
      </c>
      <c r="D128" s="399"/>
      <c r="E128" s="399">
        <v>0</v>
      </c>
      <c r="F128" s="399"/>
      <c r="G128" s="399"/>
      <c r="H128" s="399"/>
      <c r="I128" s="399"/>
      <c r="J128" s="399">
        <f t="shared" si="11"/>
        <v>0</v>
      </c>
      <c r="K128" s="399">
        <f t="shared" si="12"/>
        <v>0</v>
      </c>
      <c r="L128" s="399">
        <f t="shared" si="13"/>
        <v>0</v>
      </c>
      <c r="M128" s="399">
        <f t="shared" si="14"/>
        <v>0</v>
      </c>
      <c r="N128" s="399">
        <f t="shared" si="15"/>
        <v>0</v>
      </c>
      <c r="O128" s="399">
        <f t="shared" si="16"/>
        <v>0</v>
      </c>
      <c r="P128" s="399">
        <f t="shared" si="17"/>
        <v>0</v>
      </c>
      <c r="Q128" s="399">
        <f t="shared" si="18"/>
        <v>0</v>
      </c>
      <c r="R128" s="399">
        <f t="shared" si="19"/>
        <v>0</v>
      </c>
      <c r="S128" s="399">
        <f t="shared" si="20"/>
        <v>0</v>
      </c>
      <c r="T128" s="95"/>
      <c r="U128" s="536"/>
      <c r="V128" s="299"/>
    </row>
    <row r="129" spans="1:22" hidden="1" x14ac:dyDescent="0.2">
      <c r="A129" s="396" t="s">
        <v>4272</v>
      </c>
      <c r="B129" s="133" t="s">
        <v>4228</v>
      </c>
      <c r="C129" s="133" t="s">
        <v>4271</v>
      </c>
      <c r="D129" s="399"/>
      <c r="E129" s="399">
        <v>0</v>
      </c>
      <c r="F129" s="399"/>
      <c r="G129" s="399"/>
      <c r="H129" s="399"/>
      <c r="I129" s="399"/>
      <c r="J129" s="399">
        <f t="shared" si="11"/>
        <v>0</v>
      </c>
      <c r="K129" s="399">
        <f t="shared" si="12"/>
        <v>0</v>
      </c>
      <c r="L129" s="399">
        <f t="shared" si="13"/>
        <v>0</v>
      </c>
      <c r="M129" s="399">
        <f t="shared" si="14"/>
        <v>0</v>
      </c>
      <c r="N129" s="399">
        <f t="shared" si="15"/>
        <v>0</v>
      </c>
      <c r="O129" s="399">
        <f t="shared" si="16"/>
        <v>0</v>
      </c>
      <c r="P129" s="399">
        <f t="shared" si="17"/>
        <v>0</v>
      </c>
      <c r="Q129" s="399">
        <f t="shared" si="18"/>
        <v>0</v>
      </c>
      <c r="R129" s="399">
        <f t="shared" si="19"/>
        <v>0</v>
      </c>
      <c r="S129" s="399">
        <f t="shared" si="20"/>
        <v>0</v>
      </c>
      <c r="T129" s="95"/>
      <c r="U129" s="536"/>
      <c r="V129" s="299"/>
    </row>
    <row r="130" spans="1:22" hidden="1" x14ac:dyDescent="0.2">
      <c r="A130" s="396" t="s">
        <v>4272</v>
      </c>
      <c r="B130" s="133" t="s">
        <v>4239</v>
      </c>
      <c r="C130" s="133"/>
      <c r="D130" s="399"/>
      <c r="E130" s="399">
        <v>0</v>
      </c>
      <c r="F130" s="399"/>
      <c r="G130" s="399"/>
      <c r="H130" s="399"/>
      <c r="I130" s="399"/>
      <c r="J130" s="399">
        <f t="shared" si="11"/>
        <v>0</v>
      </c>
      <c r="K130" s="399">
        <f t="shared" si="12"/>
        <v>0</v>
      </c>
      <c r="L130" s="399">
        <f t="shared" si="13"/>
        <v>0</v>
      </c>
      <c r="M130" s="399">
        <f t="shared" si="14"/>
        <v>0</v>
      </c>
      <c r="N130" s="399">
        <f t="shared" si="15"/>
        <v>0</v>
      </c>
      <c r="O130" s="399">
        <f t="shared" si="16"/>
        <v>0</v>
      </c>
      <c r="P130" s="399">
        <f t="shared" si="17"/>
        <v>0</v>
      </c>
      <c r="Q130" s="399">
        <f t="shared" si="18"/>
        <v>0</v>
      </c>
      <c r="R130" s="399">
        <f t="shared" si="19"/>
        <v>0</v>
      </c>
      <c r="S130" s="399">
        <f t="shared" si="20"/>
        <v>0</v>
      </c>
      <c r="T130" s="95"/>
      <c r="U130" s="536"/>
      <c r="V130" s="299"/>
    </row>
    <row r="131" spans="1:22" hidden="1" x14ac:dyDescent="0.2">
      <c r="A131" s="396" t="s">
        <v>4272</v>
      </c>
      <c r="B131" s="133" t="s">
        <v>4234</v>
      </c>
      <c r="C131" s="133"/>
      <c r="D131" s="399"/>
      <c r="E131" s="399">
        <v>0</v>
      </c>
      <c r="F131" s="399"/>
      <c r="G131" s="399"/>
      <c r="H131" s="399"/>
      <c r="I131" s="399"/>
      <c r="J131" s="399">
        <f t="shared" si="11"/>
        <v>0</v>
      </c>
      <c r="K131" s="399">
        <f t="shared" si="12"/>
        <v>0</v>
      </c>
      <c r="L131" s="399">
        <f t="shared" si="13"/>
        <v>0</v>
      </c>
      <c r="M131" s="399">
        <f t="shared" si="14"/>
        <v>0</v>
      </c>
      <c r="N131" s="399">
        <f t="shared" si="15"/>
        <v>0</v>
      </c>
      <c r="O131" s="399">
        <f t="shared" si="16"/>
        <v>0</v>
      </c>
      <c r="P131" s="399">
        <f t="shared" si="17"/>
        <v>0</v>
      </c>
      <c r="Q131" s="399">
        <f t="shared" si="18"/>
        <v>0</v>
      </c>
      <c r="R131" s="399">
        <f t="shared" si="19"/>
        <v>0</v>
      </c>
      <c r="S131" s="399">
        <f t="shared" si="20"/>
        <v>0</v>
      </c>
      <c r="T131" s="95"/>
      <c r="U131" s="536"/>
      <c r="V131" s="299"/>
    </row>
    <row r="132" spans="1:22" hidden="1" x14ac:dyDescent="0.2">
      <c r="A132" s="396" t="s">
        <v>4272</v>
      </c>
      <c r="B132" s="133" t="s">
        <v>4235</v>
      </c>
      <c r="C132" s="133"/>
      <c r="D132" s="399"/>
      <c r="E132" s="399">
        <v>0</v>
      </c>
      <c r="F132" s="399"/>
      <c r="G132" s="399"/>
      <c r="H132" s="399"/>
      <c r="I132" s="399"/>
      <c r="J132" s="399">
        <f t="shared" si="11"/>
        <v>0</v>
      </c>
      <c r="K132" s="399">
        <f t="shared" si="12"/>
        <v>0</v>
      </c>
      <c r="L132" s="399">
        <f t="shared" si="13"/>
        <v>0</v>
      </c>
      <c r="M132" s="399">
        <f t="shared" si="14"/>
        <v>0</v>
      </c>
      <c r="N132" s="399">
        <f t="shared" si="15"/>
        <v>0</v>
      </c>
      <c r="O132" s="399">
        <f t="shared" si="16"/>
        <v>0</v>
      </c>
      <c r="P132" s="399">
        <f t="shared" si="17"/>
        <v>0</v>
      </c>
      <c r="Q132" s="399">
        <f t="shared" si="18"/>
        <v>0</v>
      </c>
      <c r="R132" s="399">
        <f t="shared" si="19"/>
        <v>0</v>
      </c>
      <c r="S132" s="399">
        <f t="shared" si="20"/>
        <v>0</v>
      </c>
      <c r="T132" s="95"/>
      <c r="U132" s="536"/>
      <c r="V132" s="299"/>
    </row>
    <row r="133" spans="1:22" hidden="1" x14ac:dyDescent="0.2">
      <c r="A133" s="396" t="s">
        <v>4272</v>
      </c>
      <c r="B133" s="133" t="s">
        <v>4622</v>
      </c>
      <c r="C133" s="133" t="s">
        <v>4229</v>
      </c>
      <c r="D133" s="399"/>
      <c r="E133" s="399">
        <v>0</v>
      </c>
      <c r="F133" s="399"/>
      <c r="G133" s="399"/>
      <c r="H133" s="399"/>
      <c r="I133" s="399"/>
      <c r="J133" s="399">
        <f t="shared" si="11"/>
        <v>0</v>
      </c>
      <c r="K133" s="399">
        <f t="shared" si="12"/>
        <v>0</v>
      </c>
      <c r="L133" s="399">
        <f t="shared" si="13"/>
        <v>0</v>
      </c>
      <c r="M133" s="399">
        <f t="shared" si="14"/>
        <v>0</v>
      </c>
      <c r="N133" s="399">
        <f t="shared" si="15"/>
        <v>0</v>
      </c>
      <c r="O133" s="399">
        <f t="shared" si="16"/>
        <v>0</v>
      </c>
      <c r="P133" s="399">
        <f t="shared" si="17"/>
        <v>0</v>
      </c>
      <c r="Q133" s="399">
        <f t="shared" si="18"/>
        <v>0</v>
      </c>
      <c r="R133" s="399">
        <f t="shared" si="19"/>
        <v>0</v>
      </c>
      <c r="S133" s="399">
        <f t="shared" si="20"/>
        <v>0</v>
      </c>
      <c r="T133" s="95"/>
      <c r="U133" s="536"/>
      <c r="V133" s="299"/>
    </row>
    <row r="134" spans="1:22" hidden="1" x14ac:dyDescent="0.2">
      <c r="A134" s="396" t="s">
        <v>4272</v>
      </c>
      <c r="B134" s="133" t="s">
        <v>4622</v>
      </c>
      <c r="C134" s="133" t="s">
        <v>4276</v>
      </c>
      <c r="D134" s="399"/>
      <c r="E134" s="399">
        <v>34781</v>
      </c>
      <c r="F134" s="399"/>
      <c r="G134" s="399"/>
      <c r="H134" s="399"/>
      <c r="I134" s="399"/>
      <c r="J134" s="399">
        <f t="shared" si="11"/>
        <v>14906.142857142857</v>
      </c>
      <c r="K134" s="399">
        <f t="shared" si="12"/>
        <v>49687.142857142855</v>
      </c>
      <c r="L134" s="399">
        <f t="shared" si="13"/>
        <v>0</v>
      </c>
      <c r="M134" s="399">
        <f t="shared" si="14"/>
        <v>0</v>
      </c>
      <c r="N134" s="399">
        <f t="shared" si="15"/>
        <v>0</v>
      </c>
      <c r="O134" s="399">
        <f t="shared" si="16"/>
        <v>0</v>
      </c>
      <c r="P134" s="399">
        <f t="shared" si="17"/>
        <v>0</v>
      </c>
      <c r="Q134" s="399">
        <f t="shared" si="18"/>
        <v>0</v>
      </c>
      <c r="R134" s="399">
        <f t="shared" si="19"/>
        <v>0</v>
      </c>
      <c r="S134" s="399">
        <f t="shared" si="20"/>
        <v>0</v>
      </c>
      <c r="T134" s="95"/>
      <c r="U134" s="536"/>
      <c r="V134" s="299"/>
    </row>
    <row r="135" spans="1:22" hidden="1" x14ac:dyDescent="0.2">
      <c r="A135" s="396" t="s">
        <v>4272</v>
      </c>
      <c r="B135" s="133" t="s">
        <v>4622</v>
      </c>
      <c r="C135" s="133" t="s">
        <v>4273</v>
      </c>
      <c r="D135" s="399"/>
      <c r="E135" s="399">
        <v>34781</v>
      </c>
      <c r="F135" s="399"/>
      <c r="G135" s="399"/>
      <c r="H135" s="399"/>
      <c r="I135" s="399"/>
      <c r="J135" s="399">
        <f t="shared" si="11"/>
        <v>14906.142857142857</v>
      </c>
      <c r="K135" s="399">
        <f t="shared" si="12"/>
        <v>49687.142857142855</v>
      </c>
      <c r="L135" s="399">
        <f t="shared" si="13"/>
        <v>0</v>
      </c>
      <c r="M135" s="399">
        <f t="shared" si="14"/>
        <v>0</v>
      </c>
      <c r="N135" s="399">
        <f t="shared" si="15"/>
        <v>0</v>
      </c>
      <c r="O135" s="399">
        <f t="shared" si="16"/>
        <v>0</v>
      </c>
      <c r="P135" s="399">
        <f t="shared" si="17"/>
        <v>0</v>
      </c>
      <c r="Q135" s="399">
        <f t="shared" si="18"/>
        <v>0</v>
      </c>
      <c r="R135" s="399">
        <f t="shared" si="19"/>
        <v>0</v>
      </c>
      <c r="S135" s="399">
        <f t="shared" si="20"/>
        <v>0</v>
      </c>
      <c r="T135" s="95"/>
      <c r="U135" s="536"/>
      <c r="V135" s="299"/>
    </row>
    <row r="136" spans="1:22" hidden="1" x14ac:dyDescent="0.2">
      <c r="A136" s="396" t="s">
        <v>4272</v>
      </c>
      <c r="B136" s="133" t="s">
        <v>4622</v>
      </c>
      <c r="C136" s="133" t="s">
        <v>4271</v>
      </c>
      <c r="D136" s="399"/>
      <c r="E136" s="399">
        <v>34781</v>
      </c>
      <c r="F136" s="399"/>
      <c r="G136" s="399"/>
      <c r="H136" s="399"/>
      <c r="I136" s="399"/>
      <c r="J136" s="399">
        <f t="shared" si="11"/>
        <v>14906.142857142857</v>
      </c>
      <c r="K136" s="399">
        <f t="shared" si="12"/>
        <v>49687.142857142855</v>
      </c>
      <c r="L136" s="399">
        <f t="shared" si="13"/>
        <v>0</v>
      </c>
      <c r="M136" s="399">
        <f t="shared" si="14"/>
        <v>0</v>
      </c>
      <c r="N136" s="399">
        <f t="shared" si="15"/>
        <v>0</v>
      </c>
      <c r="O136" s="399">
        <f t="shared" si="16"/>
        <v>0</v>
      </c>
      <c r="P136" s="399">
        <f t="shared" si="17"/>
        <v>0</v>
      </c>
      <c r="Q136" s="399">
        <f t="shared" si="18"/>
        <v>0</v>
      </c>
      <c r="R136" s="399">
        <f t="shared" si="19"/>
        <v>0</v>
      </c>
      <c r="S136" s="399">
        <f t="shared" si="20"/>
        <v>0</v>
      </c>
      <c r="T136" s="95"/>
      <c r="U136" s="536"/>
      <c r="V136" s="299"/>
    </row>
    <row r="137" spans="1:22" hidden="1" x14ac:dyDescent="0.2">
      <c r="A137" s="396" t="s">
        <v>4272</v>
      </c>
      <c r="B137" s="133" t="s">
        <v>4228</v>
      </c>
      <c r="C137" s="133" t="s">
        <v>4229</v>
      </c>
      <c r="D137" s="399"/>
      <c r="E137" s="399">
        <v>0</v>
      </c>
      <c r="F137" s="399"/>
      <c r="G137" s="399"/>
      <c r="H137" s="399"/>
      <c r="I137" s="399"/>
      <c r="J137" s="399">
        <f t="shared" si="11"/>
        <v>0</v>
      </c>
      <c r="K137" s="399">
        <f t="shared" si="12"/>
        <v>0</v>
      </c>
      <c r="L137" s="399">
        <f t="shared" si="13"/>
        <v>0</v>
      </c>
      <c r="M137" s="399">
        <f t="shared" si="14"/>
        <v>0</v>
      </c>
      <c r="N137" s="399">
        <f t="shared" si="15"/>
        <v>0</v>
      </c>
      <c r="O137" s="399">
        <f t="shared" si="16"/>
        <v>0</v>
      </c>
      <c r="P137" s="399">
        <f t="shared" si="17"/>
        <v>0</v>
      </c>
      <c r="Q137" s="399">
        <f t="shared" si="18"/>
        <v>0</v>
      </c>
      <c r="R137" s="399">
        <f t="shared" si="19"/>
        <v>0</v>
      </c>
      <c r="S137" s="399">
        <f t="shared" si="20"/>
        <v>0</v>
      </c>
      <c r="T137" s="95"/>
      <c r="U137" s="536"/>
      <c r="V137" s="299"/>
    </row>
    <row r="138" spans="1:22" hidden="1" x14ac:dyDescent="0.2">
      <c r="A138" s="396" t="s">
        <v>4272</v>
      </c>
      <c r="B138" s="133" t="s">
        <v>4228</v>
      </c>
      <c r="C138" s="133" t="s">
        <v>4275</v>
      </c>
      <c r="D138" s="399"/>
      <c r="E138" s="399">
        <v>0</v>
      </c>
      <c r="F138" s="399"/>
      <c r="G138" s="399"/>
      <c r="H138" s="399"/>
      <c r="I138" s="399"/>
      <c r="J138" s="399">
        <f t="shared" si="11"/>
        <v>0</v>
      </c>
      <c r="K138" s="399">
        <f t="shared" si="12"/>
        <v>0</v>
      </c>
      <c r="L138" s="399">
        <f t="shared" si="13"/>
        <v>0</v>
      </c>
      <c r="M138" s="399">
        <f t="shared" si="14"/>
        <v>0</v>
      </c>
      <c r="N138" s="399">
        <f t="shared" si="15"/>
        <v>0</v>
      </c>
      <c r="O138" s="399">
        <f t="shared" si="16"/>
        <v>0</v>
      </c>
      <c r="P138" s="399">
        <f t="shared" si="17"/>
        <v>0</v>
      </c>
      <c r="Q138" s="399">
        <f t="shared" si="18"/>
        <v>0</v>
      </c>
      <c r="R138" s="399">
        <f t="shared" si="19"/>
        <v>0</v>
      </c>
      <c r="S138" s="399">
        <f t="shared" si="20"/>
        <v>0</v>
      </c>
      <c r="T138" s="95"/>
      <c r="U138" s="536"/>
      <c r="V138" s="299"/>
    </row>
    <row r="139" spans="1:22" hidden="1" x14ac:dyDescent="0.2">
      <c r="A139" s="396" t="s">
        <v>4272</v>
      </c>
      <c r="B139" s="133" t="s">
        <v>4228</v>
      </c>
      <c r="C139" s="133" t="s">
        <v>4230</v>
      </c>
      <c r="D139" s="399"/>
      <c r="E139" s="399">
        <v>0</v>
      </c>
      <c r="F139" s="399"/>
      <c r="G139" s="399"/>
      <c r="H139" s="399"/>
      <c r="I139" s="399"/>
      <c r="J139" s="399">
        <f t="shared" ref="J139:J186" si="21">E139/70*30</f>
        <v>0</v>
      </c>
      <c r="K139" s="399">
        <f t="shared" ref="K139:K186" si="22">E139+F139+G139+H139+I139+J139</f>
        <v>0</v>
      </c>
      <c r="L139" s="399">
        <f t="shared" ref="L139:L186" si="23">IF(D139=0,0,IF(K139&lt;23000,23000-K139,0))</f>
        <v>0</v>
      </c>
      <c r="M139" s="399">
        <f t="shared" ref="M139:M186" si="24">E139*D139</f>
        <v>0</v>
      </c>
      <c r="N139" s="399">
        <f t="shared" ref="N139:N186" si="25">I139*D139</f>
        <v>0</v>
      </c>
      <c r="O139" s="399">
        <f t="shared" ref="O139:O186" si="26">(F139+G139+H139)*D139</f>
        <v>0</v>
      </c>
      <c r="P139" s="399">
        <f t="shared" ref="P139:P186" si="27">J139*D139</f>
        <v>0</v>
      </c>
      <c r="Q139" s="399">
        <f t="shared" ref="Q139:Q186" si="28">L139*D139</f>
        <v>0</v>
      </c>
      <c r="R139" s="399">
        <f t="shared" ref="R139:R186" si="29">SUM(M139:Q139)</f>
        <v>0</v>
      </c>
      <c r="S139" s="399">
        <f t="shared" ref="S139:S186" si="30">R139*12</f>
        <v>0</v>
      </c>
      <c r="T139" s="95"/>
      <c r="U139" s="536"/>
      <c r="V139" s="299"/>
    </row>
    <row r="140" spans="1:22" hidden="1" x14ac:dyDescent="0.2">
      <c r="A140" s="396" t="s">
        <v>4272</v>
      </c>
      <c r="B140" s="133" t="s">
        <v>4228</v>
      </c>
      <c r="C140" s="133" t="s">
        <v>4231</v>
      </c>
      <c r="D140" s="399"/>
      <c r="E140" s="399">
        <v>0</v>
      </c>
      <c r="F140" s="399"/>
      <c r="G140" s="399"/>
      <c r="H140" s="399"/>
      <c r="I140" s="399"/>
      <c r="J140" s="399">
        <f t="shared" si="21"/>
        <v>0</v>
      </c>
      <c r="K140" s="399">
        <f t="shared" si="22"/>
        <v>0</v>
      </c>
      <c r="L140" s="399">
        <f t="shared" si="23"/>
        <v>0</v>
      </c>
      <c r="M140" s="399">
        <f t="shared" si="24"/>
        <v>0</v>
      </c>
      <c r="N140" s="399">
        <f t="shared" si="25"/>
        <v>0</v>
      </c>
      <c r="O140" s="399">
        <f t="shared" si="26"/>
        <v>0</v>
      </c>
      <c r="P140" s="399">
        <f t="shared" si="27"/>
        <v>0</v>
      </c>
      <c r="Q140" s="399">
        <f t="shared" si="28"/>
        <v>0</v>
      </c>
      <c r="R140" s="399">
        <f t="shared" si="29"/>
        <v>0</v>
      </c>
      <c r="S140" s="399">
        <f t="shared" si="30"/>
        <v>0</v>
      </c>
      <c r="T140" s="95"/>
      <c r="U140" s="536"/>
      <c r="V140" s="299"/>
    </row>
    <row r="141" spans="1:22" hidden="1" x14ac:dyDescent="0.2">
      <c r="A141" s="396" t="s">
        <v>4272</v>
      </c>
      <c r="B141" s="133" t="s">
        <v>4228</v>
      </c>
      <c r="C141" s="133" t="s">
        <v>4273</v>
      </c>
      <c r="D141" s="399"/>
      <c r="E141" s="399">
        <v>0</v>
      </c>
      <c r="F141" s="399"/>
      <c r="G141" s="399"/>
      <c r="H141" s="399"/>
      <c r="I141" s="399"/>
      <c r="J141" s="399">
        <f t="shared" si="21"/>
        <v>0</v>
      </c>
      <c r="K141" s="399">
        <f t="shared" si="22"/>
        <v>0</v>
      </c>
      <c r="L141" s="399">
        <f t="shared" si="23"/>
        <v>0</v>
      </c>
      <c r="M141" s="399">
        <f t="shared" si="24"/>
        <v>0</v>
      </c>
      <c r="N141" s="399">
        <f t="shared" si="25"/>
        <v>0</v>
      </c>
      <c r="O141" s="399">
        <f t="shared" si="26"/>
        <v>0</v>
      </c>
      <c r="P141" s="399">
        <f t="shared" si="27"/>
        <v>0</v>
      </c>
      <c r="Q141" s="399">
        <f t="shared" si="28"/>
        <v>0</v>
      </c>
      <c r="R141" s="399">
        <f t="shared" si="29"/>
        <v>0</v>
      </c>
      <c r="S141" s="399">
        <f t="shared" si="30"/>
        <v>0</v>
      </c>
      <c r="T141" s="95"/>
      <c r="U141" s="536"/>
      <c r="V141" s="299"/>
    </row>
    <row r="142" spans="1:22" hidden="1" x14ac:dyDescent="0.2">
      <c r="A142" s="396" t="s">
        <v>4272</v>
      </c>
      <c r="B142" s="133" t="s">
        <v>4228</v>
      </c>
      <c r="C142" s="133" t="s">
        <v>4271</v>
      </c>
      <c r="D142" s="399"/>
      <c r="E142" s="399">
        <v>0</v>
      </c>
      <c r="F142" s="399"/>
      <c r="G142" s="399"/>
      <c r="H142" s="399"/>
      <c r="I142" s="399"/>
      <c r="J142" s="399">
        <f t="shared" si="21"/>
        <v>0</v>
      </c>
      <c r="K142" s="399">
        <f t="shared" si="22"/>
        <v>0</v>
      </c>
      <c r="L142" s="399">
        <f t="shared" si="23"/>
        <v>0</v>
      </c>
      <c r="M142" s="399">
        <f t="shared" si="24"/>
        <v>0</v>
      </c>
      <c r="N142" s="399">
        <f t="shared" si="25"/>
        <v>0</v>
      </c>
      <c r="O142" s="399">
        <f t="shared" si="26"/>
        <v>0</v>
      </c>
      <c r="P142" s="399">
        <f t="shared" si="27"/>
        <v>0</v>
      </c>
      <c r="Q142" s="399">
        <f t="shared" si="28"/>
        <v>0</v>
      </c>
      <c r="R142" s="399">
        <f t="shared" si="29"/>
        <v>0</v>
      </c>
      <c r="S142" s="399">
        <f t="shared" si="30"/>
        <v>0</v>
      </c>
      <c r="T142" s="95"/>
      <c r="U142" s="536"/>
      <c r="V142" s="299"/>
    </row>
    <row r="143" spans="1:22" hidden="1" x14ac:dyDescent="0.2">
      <c r="A143" s="396" t="s">
        <v>4272</v>
      </c>
      <c r="B143" s="133" t="s">
        <v>4239</v>
      </c>
      <c r="C143" s="133"/>
      <c r="D143" s="399"/>
      <c r="E143" s="399">
        <v>24462</v>
      </c>
      <c r="F143" s="399"/>
      <c r="G143" s="399"/>
      <c r="H143" s="399"/>
      <c r="I143" s="399"/>
      <c r="J143" s="399">
        <f t="shared" si="21"/>
        <v>10483.714285714286</v>
      </c>
      <c r="K143" s="399">
        <f t="shared" si="22"/>
        <v>34945.71428571429</v>
      </c>
      <c r="L143" s="399">
        <f t="shared" si="23"/>
        <v>0</v>
      </c>
      <c r="M143" s="399">
        <f t="shared" si="24"/>
        <v>0</v>
      </c>
      <c r="N143" s="399">
        <f t="shared" si="25"/>
        <v>0</v>
      </c>
      <c r="O143" s="399">
        <f t="shared" si="26"/>
        <v>0</v>
      </c>
      <c r="P143" s="399">
        <f t="shared" si="27"/>
        <v>0</v>
      </c>
      <c r="Q143" s="399">
        <f t="shared" si="28"/>
        <v>0</v>
      </c>
      <c r="R143" s="399">
        <f t="shared" si="29"/>
        <v>0</v>
      </c>
      <c r="S143" s="399">
        <f t="shared" si="30"/>
        <v>0</v>
      </c>
      <c r="T143" s="95"/>
      <c r="U143" s="536"/>
      <c r="V143" s="299"/>
    </row>
    <row r="144" spans="1:22" hidden="1" x14ac:dyDescent="0.2">
      <c r="A144" s="396" t="s">
        <v>4272</v>
      </c>
      <c r="B144" s="133" t="s">
        <v>4234</v>
      </c>
      <c r="C144" s="133"/>
      <c r="D144" s="399"/>
      <c r="E144" s="399">
        <v>0</v>
      </c>
      <c r="F144" s="399"/>
      <c r="G144" s="399"/>
      <c r="H144" s="399"/>
      <c r="I144" s="399"/>
      <c r="J144" s="399">
        <f t="shared" si="21"/>
        <v>0</v>
      </c>
      <c r="K144" s="399">
        <f t="shared" si="22"/>
        <v>0</v>
      </c>
      <c r="L144" s="399">
        <f t="shared" si="23"/>
        <v>0</v>
      </c>
      <c r="M144" s="399">
        <f t="shared" si="24"/>
        <v>0</v>
      </c>
      <c r="N144" s="399">
        <f t="shared" si="25"/>
        <v>0</v>
      </c>
      <c r="O144" s="399">
        <f t="shared" si="26"/>
        <v>0</v>
      </c>
      <c r="P144" s="399">
        <f t="shared" si="27"/>
        <v>0</v>
      </c>
      <c r="Q144" s="399">
        <f t="shared" si="28"/>
        <v>0</v>
      </c>
      <c r="R144" s="399">
        <f t="shared" si="29"/>
        <v>0</v>
      </c>
      <c r="S144" s="399">
        <f t="shared" si="30"/>
        <v>0</v>
      </c>
      <c r="T144" s="95"/>
      <c r="U144" s="536"/>
      <c r="V144" s="299"/>
    </row>
    <row r="145" spans="1:22" hidden="1" x14ac:dyDescent="0.2">
      <c r="A145" s="396" t="s">
        <v>4272</v>
      </c>
      <c r="B145" s="133" t="s">
        <v>4235</v>
      </c>
      <c r="C145" s="133"/>
      <c r="D145" s="399"/>
      <c r="E145" s="399">
        <v>0</v>
      </c>
      <c r="F145" s="399"/>
      <c r="G145" s="399"/>
      <c r="H145" s="399"/>
      <c r="I145" s="399"/>
      <c r="J145" s="399">
        <f t="shared" si="21"/>
        <v>0</v>
      </c>
      <c r="K145" s="399">
        <f t="shared" si="22"/>
        <v>0</v>
      </c>
      <c r="L145" s="399">
        <f t="shared" si="23"/>
        <v>0</v>
      </c>
      <c r="M145" s="399">
        <f t="shared" si="24"/>
        <v>0</v>
      </c>
      <c r="N145" s="399">
        <f t="shared" si="25"/>
        <v>0</v>
      </c>
      <c r="O145" s="399">
        <f t="shared" si="26"/>
        <v>0</v>
      </c>
      <c r="P145" s="399">
        <f t="shared" si="27"/>
        <v>0</v>
      </c>
      <c r="Q145" s="399">
        <f t="shared" si="28"/>
        <v>0</v>
      </c>
      <c r="R145" s="399">
        <f t="shared" si="29"/>
        <v>0</v>
      </c>
      <c r="S145" s="399">
        <f t="shared" si="30"/>
        <v>0</v>
      </c>
      <c r="T145" s="95"/>
      <c r="U145" s="536"/>
      <c r="V145" s="299"/>
    </row>
    <row r="146" spans="1:22" hidden="1" x14ac:dyDescent="0.2">
      <c r="A146" s="396" t="s">
        <v>4272</v>
      </c>
      <c r="B146" s="133" t="s">
        <v>4622</v>
      </c>
      <c r="C146" s="133" t="s">
        <v>4229</v>
      </c>
      <c r="D146" s="399"/>
      <c r="E146" s="399">
        <v>0</v>
      </c>
      <c r="F146" s="399"/>
      <c r="G146" s="399"/>
      <c r="H146" s="399"/>
      <c r="I146" s="399"/>
      <c r="J146" s="399">
        <f t="shared" si="21"/>
        <v>0</v>
      </c>
      <c r="K146" s="399">
        <f t="shared" si="22"/>
        <v>0</v>
      </c>
      <c r="L146" s="399">
        <f t="shared" si="23"/>
        <v>0</v>
      </c>
      <c r="M146" s="399">
        <f t="shared" si="24"/>
        <v>0</v>
      </c>
      <c r="N146" s="399">
        <f t="shared" si="25"/>
        <v>0</v>
      </c>
      <c r="O146" s="399">
        <f t="shared" si="26"/>
        <v>0</v>
      </c>
      <c r="P146" s="399">
        <f t="shared" si="27"/>
        <v>0</v>
      </c>
      <c r="Q146" s="399">
        <f t="shared" si="28"/>
        <v>0</v>
      </c>
      <c r="R146" s="399">
        <f t="shared" si="29"/>
        <v>0</v>
      </c>
      <c r="S146" s="399">
        <f t="shared" si="30"/>
        <v>0</v>
      </c>
      <c r="T146" s="95"/>
      <c r="U146" s="536"/>
      <c r="V146" s="299"/>
    </row>
    <row r="147" spans="1:22" hidden="1" x14ac:dyDescent="0.2">
      <c r="A147" s="396" t="s">
        <v>4272</v>
      </c>
      <c r="B147" s="133" t="s">
        <v>4622</v>
      </c>
      <c r="C147" s="133" t="s">
        <v>4276</v>
      </c>
      <c r="D147" s="399"/>
      <c r="E147" s="399">
        <v>0</v>
      </c>
      <c r="F147" s="399"/>
      <c r="G147" s="399"/>
      <c r="H147" s="399"/>
      <c r="I147" s="399"/>
      <c r="J147" s="399">
        <f t="shared" si="21"/>
        <v>0</v>
      </c>
      <c r="K147" s="399">
        <f t="shared" si="22"/>
        <v>0</v>
      </c>
      <c r="L147" s="399">
        <f t="shared" si="23"/>
        <v>0</v>
      </c>
      <c r="M147" s="399">
        <f t="shared" si="24"/>
        <v>0</v>
      </c>
      <c r="N147" s="399">
        <f t="shared" si="25"/>
        <v>0</v>
      </c>
      <c r="O147" s="399">
        <f t="shared" si="26"/>
        <v>0</v>
      </c>
      <c r="P147" s="399">
        <f t="shared" si="27"/>
        <v>0</v>
      </c>
      <c r="Q147" s="399">
        <f t="shared" si="28"/>
        <v>0</v>
      </c>
      <c r="R147" s="399">
        <f t="shared" si="29"/>
        <v>0</v>
      </c>
      <c r="S147" s="399">
        <f t="shared" si="30"/>
        <v>0</v>
      </c>
      <c r="T147" s="95"/>
      <c r="U147" s="536"/>
      <c r="V147" s="299"/>
    </row>
    <row r="148" spans="1:22" hidden="1" x14ac:dyDescent="0.2">
      <c r="A148" s="396" t="s">
        <v>4272</v>
      </c>
      <c r="B148" s="133" t="s">
        <v>4622</v>
      </c>
      <c r="C148" s="133" t="s">
        <v>4273</v>
      </c>
      <c r="D148" s="399"/>
      <c r="E148" s="399">
        <v>26849</v>
      </c>
      <c r="F148" s="399"/>
      <c r="G148" s="399"/>
      <c r="H148" s="399"/>
      <c r="I148" s="399"/>
      <c r="J148" s="399">
        <f t="shared" si="21"/>
        <v>11506.714285714286</v>
      </c>
      <c r="K148" s="399">
        <f t="shared" si="22"/>
        <v>38355.71428571429</v>
      </c>
      <c r="L148" s="399">
        <f t="shared" si="23"/>
        <v>0</v>
      </c>
      <c r="M148" s="399">
        <f t="shared" si="24"/>
        <v>0</v>
      </c>
      <c r="N148" s="399">
        <f t="shared" si="25"/>
        <v>0</v>
      </c>
      <c r="O148" s="399">
        <f t="shared" si="26"/>
        <v>0</v>
      </c>
      <c r="P148" s="399">
        <f t="shared" si="27"/>
        <v>0</v>
      </c>
      <c r="Q148" s="399">
        <f t="shared" si="28"/>
        <v>0</v>
      </c>
      <c r="R148" s="399">
        <f t="shared" si="29"/>
        <v>0</v>
      </c>
      <c r="S148" s="399">
        <f t="shared" si="30"/>
        <v>0</v>
      </c>
      <c r="T148" s="95"/>
      <c r="U148" s="536"/>
      <c r="V148" s="299"/>
    </row>
    <row r="149" spans="1:22" hidden="1" x14ac:dyDescent="0.2">
      <c r="A149" s="396" t="s">
        <v>4272</v>
      </c>
      <c r="B149" s="133" t="s">
        <v>4622</v>
      </c>
      <c r="C149" s="133" t="s">
        <v>4271</v>
      </c>
      <c r="D149" s="399"/>
      <c r="E149" s="399">
        <v>28646</v>
      </c>
      <c r="F149" s="399"/>
      <c r="G149" s="399"/>
      <c r="H149" s="399"/>
      <c r="I149" s="399"/>
      <c r="J149" s="399">
        <f t="shared" si="21"/>
        <v>12276.857142857143</v>
      </c>
      <c r="K149" s="399">
        <f t="shared" si="22"/>
        <v>40922.857142857145</v>
      </c>
      <c r="L149" s="399">
        <f t="shared" si="23"/>
        <v>0</v>
      </c>
      <c r="M149" s="399">
        <f t="shared" si="24"/>
        <v>0</v>
      </c>
      <c r="N149" s="399">
        <f t="shared" si="25"/>
        <v>0</v>
      </c>
      <c r="O149" s="399">
        <f t="shared" si="26"/>
        <v>0</v>
      </c>
      <c r="P149" s="399">
        <f t="shared" si="27"/>
        <v>0</v>
      </c>
      <c r="Q149" s="399">
        <f t="shared" si="28"/>
        <v>0</v>
      </c>
      <c r="R149" s="399">
        <f t="shared" si="29"/>
        <v>0</v>
      </c>
      <c r="S149" s="399">
        <f t="shared" si="30"/>
        <v>0</v>
      </c>
      <c r="T149" s="95"/>
      <c r="U149" s="536"/>
      <c r="V149" s="299"/>
    </row>
    <row r="150" spans="1:22" hidden="1" x14ac:dyDescent="0.2">
      <c r="A150" s="396" t="s">
        <v>4623</v>
      </c>
      <c r="B150" s="133" t="s">
        <v>4242</v>
      </c>
      <c r="C150" s="133" t="s">
        <v>4271</v>
      </c>
      <c r="D150" s="399"/>
      <c r="E150" s="399"/>
      <c r="F150" s="399"/>
      <c r="G150" s="399"/>
      <c r="H150" s="399"/>
      <c r="I150" s="399"/>
      <c r="J150" s="399">
        <f t="shared" si="21"/>
        <v>0</v>
      </c>
      <c r="K150" s="399">
        <f t="shared" si="22"/>
        <v>0</v>
      </c>
      <c r="L150" s="399">
        <f t="shared" si="23"/>
        <v>0</v>
      </c>
      <c r="M150" s="399">
        <f t="shared" si="24"/>
        <v>0</v>
      </c>
      <c r="N150" s="399">
        <f t="shared" si="25"/>
        <v>0</v>
      </c>
      <c r="O150" s="399">
        <f t="shared" si="26"/>
        <v>0</v>
      </c>
      <c r="P150" s="399">
        <f t="shared" si="27"/>
        <v>0</v>
      </c>
      <c r="Q150" s="399">
        <f t="shared" si="28"/>
        <v>0</v>
      </c>
      <c r="R150" s="399">
        <f t="shared" si="29"/>
        <v>0</v>
      </c>
      <c r="S150" s="399">
        <f t="shared" si="30"/>
        <v>0</v>
      </c>
      <c r="T150" s="95"/>
      <c r="U150" s="536"/>
      <c r="V150" s="299"/>
    </row>
    <row r="151" spans="1:22" hidden="1" x14ac:dyDescent="0.2">
      <c r="A151" s="396" t="s">
        <v>4623</v>
      </c>
      <c r="B151" s="133" t="s">
        <v>4239</v>
      </c>
      <c r="C151" s="133"/>
      <c r="D151" s="399"/>
      <c r="E151" s="399"/>
      <c r="F151" s="399"/>
      <c r="G151" s="399"/>
      <c r="H151" s="399"/>
      <c r="I151" s="399"/>
      <c r="J151" s="399">
        <f t="shared" si="21"/>
        <v>0</v>
      </c>
      <c r="K151" s="399">
        <f t="shared" si="22"/>
        <v>0</v>
      </c>
      <c r="L151" s="399">
        <f t="shared" si="23"/>
        <v>0</v>
      </c>
      <c r="M151" s="399">
        <f t="shared" si="24"/>
        <v>0</v>
      </c>
      <c r="N151" s="399">
        <f t="shared" si="25"/>
        <v>0</v>
      </c>
      <c r="O151" s="399">
        <f t="shared" si="26"/>
        <v>0</v>
      </c>
      <c r="P151" s="399">
        <f t="shared" si="27"/>
        <v>0</v>
      </c>
      <c r="Q151" s="399">
        <f t="shared" si="28"/>
        <v>0</v>
      </c>
      <c r="R151" s="399">
        <f t="shared" si="29"/>
        <v>0</v>
      </c>
      <c r="S151" s="399">
        <f t="shared" si="30"/>
        <v>0</v>
      </c>
      <c r="T151" s="95"/>
      <c r="U151" s="536"/>
      <c r="V151" s="299"/>
    </row>
    <row r="152" spans="1:22" hidden="1" x14ac:dyDescent="0.2">
      <c r="A152" s="396" t="s">
        <v>4623</v>
      </c>
      <c r="B152" s="133" t="s">
        <v>4234</v>
      </c>
      <c r="C152" s="133"/>
      <c r="D152" s="399"/>
      <c r="E152" s="399"/>
      <c r="F152" s="399"/>
      <c r="G152" s="399"/>
      <c r="H152" s="399"/>
      <c r="I152" s="399"/>
      <c r="J152" s="399">
        <f t="shared" si="21"/>
        <v>0</v>
      </c>
      <c r="K152" s="399">
        <f t="shared" si="22"/>
        <v>0</v>
      </c>
      <c r="L152" s="399">
        <f t="shared" si="23"/>
        <v>0</v>
      </c>
      <c r="M152" s="399">
        <f t="shared" si="24"/>
        <v>0</v>
      </c>
      <c r="N152" s="399">
        <f t="shared" si="25"/>
        <v>0</v>
      </c>
      <c r="O152" s="399">
        <f t="shared" si="26"/>
        <v>0</v>
      </c>
      <c r="P152" s="399">
        <f t="shared" si="27"/>
        <v>0</v>
      </c>
      <c r="Q152" s="399">
        <f t="shared" si="28"/>
        <v>0</v>
      </c>
      <c r="R152" s="399">
        <f t="shared" si="29"/>
        <v>0</v>
      </c>
      <c r="S152" s="399">
        <f t="shared" si="30"/>
        <v>0</v>
      </c>
      <c r="T152" s="95"/>
      <c r="U152" s="536"/>
      <c r="V152" s="299"/>
    </row>
    <row r="153" spans="1:22" hidden="1" x14ac:dyDescent="0.2">
      <c r="A153" s="396" t="s">
        <v>4623</v>
      </c>
      <c r="B153" s="133" t="s">
        <v>4235</v>
      </c>
      <c r="C153" s="133"/>
      <c r="D153" s="399"/>
      <c r="E153" s="399"/>
      <c r="F153" s="399"/>
      <c r="G153" s="399"/>
      <c r="H153" s="399"/>
      <c r="I153" s="399"/>
      <c r="J153" s="399">
        <f t="shared" si="21"/>
        <v>0</v>
      </c>
      <c r="K153" s="399">
        <f t="shared" si="22"/>
        <v>0</v>
      </c>
      <c r="L153" s="399">
        <f t="shared" si="23"/>
        <v>0</v>
      </c>
      <c r="M153" s="399">
        <f t="shared" si="24"/>
        <v>0</v>
      </c>
      <c r="N153" s="399">
        <f t="shared" si="25"/>
        <v>0</v>
      </c>
      <c r="O153" s="399">
        <f t="shared" si="26"/>
        <v>0</v>
      </c>
      <c r="P153" s="399">
        <f t="shared" si="27"/>
        <v>0</v>
      </c>
      <c r="Q153" s="399">
        <f t="shared" si="28"/>
        <v>0</v>
      </c>
      <c r="R153" s="399">
        <f t="shared" si="29"/>
        <v>0</v>
      </c>
      <c r="S153" s="399">
        <f t="shared" si="30"/>
        <v>0</v>
      </c>
      <c r="T153" s="95"/>
      <c r="U153" s="536"/>
      <c r="V153" s="299"/>
    </row>
    <row r="154" spans="1:22" hidden="1" x14ac:dyDescent="0.2">
      <c r="A154" s="396"/>
      <c r="B154" s="133"/>
      <c r="C154" s="133"/>
      <c r="D154" s="399"/>
      <c r="E154" s="399"/>
      <c r="F154" s="399"/>
      <c r="G154" s="399"/>
      <c r="H154" s="399"/>
      <c r="I154" s="399"/>
      <c r="J154" s="399">
        <f t="shared" si="21"/>
        <v>0</v>
      </c>
      <c r="K154" s="399">
        <f t="shared" si="22"/>
        <v>0</v>
      </c>
      <c r="L154" s="399">
        <f t="shared" si="23"/>
        <v>0</v>
      </c>
      <c r="M154" s="399">
        <f t="shared" si="24"/>
        <v>0</v>
      </c>
      <c r="N154" s="399">
        <f t="shared" si="25"/>
        <v>0</v>
      </c>
      <c r="O154" s="399">
        <f t="shared" si="26"/>
        <v>0</v>
      </c>
      <c r="P154" s="399">
        <f t="shared" si="27"/>
        <v>0</v>
      </c>
      <c r="Q154" s="399">
        <f t="shared" si="28"/>
        <v>0</v>
      </c>
      <c r="R154" s="399">
        <f t="shared" si="29"/>
        <v>0</v>
      </c>
      <c r="S154" s="399">
        <f t="shared" si="30"/>
        <v>0</v>
      </c>
      <c r="T154" s="95"/>
      <c r="U154" s="536"/>
      <c r="V154" s="299"/>
    </row>
    <row r="155" spans="1:22" hidden="1" x14ac:dyDescent="0.2">
      <c r="A155" s="396" t="s">
        <v>4277</v>
      </c>
      <c r="B155" s="133" t="s">
        <v>4235</v>
      </c>
      <c r="C155" s="133"/>
      <c r="D155" s="399">
        <v>0</v>
      </c>
      <c r="E155" s="399">
        <v>0</v>
      </c>
      <c r="F155" s="399"/>
      <c r="G155" s="399"/>
      <c r="H155" s="399"/>
      <c r="I155" s="399"/>
      <c r="J155" s="399">
        <f t="shared" si="21"/>
        <v>0</v>
      </c>
      <c r="K155" s="399">
        <f t="shared" si="22"/>
        <v>0</v>
      </c>
      <c r="L155" s="399">
        <f t="shared" si="23"/>
        <v>0</v>
      </c>
      <c r="M155" s="399">
        <f t="shared" si="24"/>
        <v>0</v>
      </c>
      <c r="N155" s="399">
        <f t="shared" si="25"/>
        <v>0</v>
      </c>
      <c r="O155" s="399">
        <f t="shared" si="26"/>
        <v>0</v>
      </c>
      <c r="P155" s="399">
        <f t="shared" si="27"/>
        <v>0</v>
      </c>
      <c r="Q155" s="399">
        <f t="shared" si="28"/>
        <v>0</v>
      </c>
      <c r="R155" s="399">
        <f t="shared" si="29"/>
        <v>0</v>
      </c>
      <c r="S155" s="399">
        <f t="shared" si="30"/>
        <v>0</v>
      </c>
      <c r="T155" s="95"/>
      <c r="U155" s="536"/>
      <c r="V155" s="299"/>
    </row>
    <row r="156" spans="1:22" hidden="1" x14ac:dyDescent="0.2">
      <c r="A156" s="396" t="s">
        <v>4452</v>
      </c>
      <c r="B156" s="133" t="s">
        <v>4234</v>
      </c>
      <c r="C156" s="133"/>
      <c r="D156" s="399">
        <v>0</v>
      </c>
      <c r="E156" s="399">
        <v>0</v>
      </c>
      <c r="F156" s="399"/>
      <c r="G156" s="399"/>
      <c r="H156" s="399"/>
      <c r="I156" s="399"/>
      <c r="J156" s="399">
        <f t="shared" si="21"/>
        <v>0</v>
      </c>
      <c r="K156" s="399">
        <f t="shared" si="22"/>
        <v>0</v>
      </c>
      <c r="L156" s="399">
        <f t="shared" si="23"/>
        <v>0</v>
      </c>
      <c r="M156" s="399">
        <f t="shared" si="24"/>
        <v>0</v>
      </c>
      <c r="N156" s="399">
        <f t="shared" si="25"/>
        <v>0</v>
      </c>
      <c r="O156" s="399">
        <f t="shared" si="26"/>
        <v>0</v>
      </c>
      <c r="P156" s="399">
        <f t="shared" si="27"/>
        <v>0</v>
      </c>
      <c r="Q156" s="399">
        <f t="shared" si="28"/>
        <v>0</v>
      </c>
      <c r="R156" s="399">
        <f t="shared" si="29"/>
        <v>0</v>
      </c>
      <c r="S156" s="399">
        <f t="shared" si="30"/>
        <v>0</v>
      </c>
      <c r="T156" s="95"/>
      <c r="U156" s="536"/>
      <c r="V156" s="299"/>
    </row>
    <row r="157" spans="1:22" x14ac:dyDescent="0.2">
      <c r="A157" s="396" t="s">
        <v>4238</v>
      </c>
      <c r="B157" s="133" t="s">
        <v>4450</v>
      </c>
      <c r="C157" s="133"/>
      <c r="D157" s="399">
        <v>1</v>
      </c>
      <c r="E157" s="399">
        <v>34540</v>
      </c>
      <c r="F157" s="399"/>
      <c r="G157" s="399"/>
      <c r="H157" s="399"/>
      <c r="I157" s="399"/>
      <c r="J157" s="399">
        <f t="shared" si="21"/>
        <v>14802.857142857143</v>
      </c>
      <c r="K157" s="399">
        <f t="shared" si="22"/>
        <v>49342.857142857145</v>
      </c>
      <c r="L157" s="399">
        <f t="shared" si="23"/>
        <v>0</v>
      </c>
      <c r="M157" s="399">
        <f t="shared" si="24"/>
        <v>34540</v>
      </c>
      <c r="N157" s="399">
        <f t="shared" si="25"/>
        <v>0</v>
      </c>
      <c r="O157" s="399">
        <f t="shared" si="26"/>
        <v>0</v>
      </c>
      <c r="P157" s="399">
        <f t="shared" si="27"/>
        <v>14802.857142857143</v>
      </c>
      <c r="Q157" s="399">
        <f t="shared" si="28"/>
        <v>0</v>
      </c>
      <c r="R157" s="399">
        <f t="shared" si="29"/>
        <v>49342.857142857145</v>
      </c>
      <c r="S157" s="399">
        <f t="shared" si="30"/>
        <v>592114.28571428568</v>
      </c>
      <c r="T157" s="95"/>
      <c r="U157" s="536"/>
      <c r="V157" s="299"/>
    </row>
    <row r="158" spans="1:22" hidden="1" x14ac:dyDescent="0.2">
      <c r="A158" s="396" t="s">
        <v>4238</v>
      </c>
      <c r="B158" s="133" t="s">
        <v>4431</v>
      </c>
      <c r="C158" s="133"/>
      <c r="D158" s="399">
        <v>0</v>
      </c>
      <c r="E158" s="399">
        <v>31448</v>
      </c>
      <c r="F158" s="399"/>
      <c r="G158" s="399"/>
      <c r="H158" s="399"/>
      <c r="I158" s="399"/>
      <c r="J158" s="399">
        <f t="shared" si="21"/>
        <v>13477.714285714286</v>
      </c>
      <c r="K158" s="399">
        <f t="shared" si="22"/>
        <v>44925.71428571429</v>
      </c>
      <c r="L158" s="399">
        <f t="shared" si="23"/>
        <v>0</v>
      </c>
      <c r="M158" s="399">
        <f t="shared" si="24"/>
        <v>0</v>
      </c>
      <c r="N158" s="399">
        <f t="shared" si="25"/>
        <v>0</v>
      </c>
      <c r="O158" s="399">
        <f t="shared" si="26"/>
        <v>0</v>
      </c>
      <c r="P158" s="399">
        <f t="shared" si="27"/>
        <v>0</v>
      </c>
      <c r="Q158" s="399">
        <f t="shared" si="28"/>
        <v>0</v>
      </c>
      <c r="R158" s="399">
        <f t="shared" si="29"/>
        <v>0</v>
      </c>
      <c r="S158" s="399">
        <f t="shared" si="30"/>
        <v>0</v>
      </c>
      <c r="T158" s="95"/>
      <c r="U158" s="536"/>
      <c r="V158" s="299"/>
    </row>
    <row r="159" spans="1:22" hidden="1" x14ac:dyDescent="0.2">
      <c r="A159" s="396" t="s">
        <v>4238</v>
      </c>
      <c r="B159" s="133" t="s">
        <v>4242</v>
      </c>
      <c r="C159" s="133"/>
      <c r="D159" s="399">
        <v>0</v>
      </c>
      <c r="E159" s="399">
        <v>26451</v>
      </c>
      <c r="F159" s="399"/>
      <c r="G159" s="399"/>
      <c r="H159" s="399"/>
      <c r="I159" s="399"/>
      <c r="J159" s="399">
        <f t="shared" si="21"/>
        <v>11336.142857142857</v>
      </c>
      <c r="K159" s="399">
        <f t="shared" si="22"/>
        <v>37787.142857142855</v>
      </c>
      <c r="L159" s="399">
        <f t="shared" si="23"/>
        <v>0</v>
      </c>
      <c r="M159" s="399">
        <f t="shared" si="24"/>
        <v>0</v>
      </c>
      <c r="N159" s="399">
        <f t="shared" si="25"/>
        <v>0</v>
      </c>
      <c r="O159" s="399">
        <f t="shared" si="26"/>
        <v>0</v>
      </c>
      <c r="P159" s="399">
        <f t="shared" si="27"/>
        <v>0</v>
      </c>
      <c r="Q159" s="399">
        <f t="shared" si="28"/>
        <v>0</v>
      </c>
      <c r="R159" s="399">
        <f t="shared" si="29"/>
        <v>0</v>
      </c>
      <c r="S159" s="399">
        <f t="shared" si="30"/>
        <v>0</v>
      </c>
      <c r="T159" s="95"/>
      <c r="U159" s="536"/>
      <c r="V159" s="299"/>
    </row>
    <row r="160" spans="1:22" hidden="1" x14ac:dyDescent="0.2">
      <c r="A160" s="396" t="s">
        <v>4456</v>
      </c>
      <c r="B160" s="133" t="s">
        <v>4450</v>
      </c>
      <c r="C160" s="133"/>
      <c r="D160" s="399">
        <v>0</v>
      </c>
      <c r="E160" s="399">
        <v>34540</v>
      </c>
      <c r="F160" s="399"/>
      <c r="G160" s="399"/>
      <c r="H160" s="399"/>
      <c r="I160" s="399"/>
      <c r="J160" s="399">
        <f t="shared" si="21"/>
        <v>14802.857142857143</v>
      </c>
      <c r="K160" s="399">
        <f t="shared" si="22"/>
        <v>49342.857142857145</v>
      </c>
      <c r="L160" s="399">
        <f t="shared" si="23"/>
        <v>0</v>
      </c>
      <c r="M160" s="399">
        <f t="shared" si="24"/>
        <v>0</v>
      </c>
      <c r="N160" s="399">
        <f t="shared" si="25"/>
        <v>0</v>
      </c>
      <c r="O160" s="399">
        <f t="shared" si="26"/>
        <v>0</v>
      </c>
      <c r="P160" s="399">
        <f t="shared" si="27"/>
        <v>0</v>
      </c>
      <c r="Q160" s="399">
        <f t="shared" si="28"/>
        <v>0</v>
      </c>
      <c r="R160" s="399">
        <f t="shared" si="29"/>
        <v>0</v>
      </c>
      <c r="S160" s="399">
        <f t="shared" si="30"/>
        <v>0</v>
      </c>
      <c r="T160" s="95"/>
      <c r="U160" s="536"/>
      <c r="V160" s="299"/>
    </row>
    <row r="161" spans="1:22" hidden="1" x14ac:dyDescent="0.2">
      <c r="A161" s="396" t="s">
        <v>4456</v>
      </c>
      <c r="B161" s="133" t="s">
        <v>4431</v>
      </c>
      <c r="C161" s="133"/>
      <c r="D161" s="399">
        <v>0</v>
      </c>
      <c r="E161" s="399">
        <v>31448</v>
      </c>
      <c r="F161" s="399"/>
      <c r="G161" s="399"/>
      <c r="H161" s="399"/>
      <c r="I161" s="399"/>
      <c r="J161" s="399">
        <f t="shared" si="21"/>
        <v>13477.714285714286</v>
      </c>
      <c r="K161" s="399">
        <f t="shared" si="22"/>
        <v>44925.71428571429</v>
      </c>
      <c r="L161" s="399">
        <f t="shared" si="23"/>
        <v>0</v>
      </c>
      <c r="M161" s="399">
        <f t="shared" si="24"/>
        <v>0</v>
      </c>
      <c r="N161" s="399">
        <f t="shared" si="25"/>
        <v>0</v>
      </c>
      <c r="O161" s="399">
        <f t="shared" si="26"/>
        <v>0</v>
      </c>
      <c r="P161" s="399">
        <f t="shared" si="27"/>
        <v>0</v>
      </c>
      <c r="Q161" s="399">
        <f t="shared" si="28"/>
        <v>0</v>
      </c>
      <c r="R161" s="399">
        <f t="shared" si="29"/>
        <v>0</v>
      </c>
      <c r="S161" s="399">
        <f t="shared" si="30"/>
        <v>0</v>
      </c>
      <c r="T161" s="95"/>
      <c r="U161" s="536"/>
      <c r="V161" s="299"/>
    </row>
    <row r="162" spans="1:22" hidden="1" x14ac:dyDescent="0.2">
      <c r="A162" s="396" t="s">
        <v>4456</v>
      </c>
      <c r="B162" s="133" t="s">
        <v>4242</v>
      </c>
      <c r="C162" s="133"/>
      <c r="D162" s="399">
        <v>0</v>
      </c>
      <c r="E162" s="399">
        <v>26451</v>
      </c>
      <c r="F162" s="399"/>
      <c r="G162" s="399"/>
      <c r="H162" s="399"/>
      <c r="I162" s="399"/>
      <c r="J162" s="399">
        <f t="shared" si="21"/>
        <v>11336.142857142857</v>
      </c>
      <c r="K162" s="399">
        <f t="shared" si="22"/>
        <v>37787.142857142855</v>
      </c>
      <c r="L162" s="399">
        <f t="shared" si="23"/>
        <v>0</v>
      </c>
      <c r="M162" s="399">
        <f t="shared" si="24"/>
        <v>0</v>
      </c>
      <c r="N162" s="399">
        <f t="shared" si="25"/>
        <v>0</v>
      </c>
      <c r="O162" s="399">
        <f t="shared" si="26"/>
        <v>0</v>
      </c>
      <c r="P162" s="399">
        <f t="shared" si="27"/>
        <v>0</v>
      </c>
      <c r="Q162" s="399">
        <f t="shared" si="28"/>
        <v>0</v>
      </c>
      <c r="R162" s="399">
        <f t="shared" si="29"/>
        <v>0</v>
      </c>
      <c r="S162" s="399">
        <f t="shared" si="30"/>
        <v>0</v>
      </c>
      <c r="T162" s="95"/>
      <c r="U162" s="536"/>
      <c r="V162" s="299"/>
    </row>
    <row r="163" spans="1:22" x14ac:dyDescent="0.2">
      <c r="A163" s="396" t="s">
        <v>4240</v>
      </c>
      <c r="B163" s="133" t="s">
        <v>4450</v>
      </c>
      <c r="C163" s="133"/>
      <c r="D163" s="399">
        <v>1</v>
      </c>
      <c r="E163" s="399">
        <v>34540</v>
      </c>
      <c r="F163" s="399"/>
      <c r="G163" s="399"/>
      <c r="H163" s="399"/>
      <c r="I163" s="399"/>
      <c r="J163" s="399">
        <f t="shared" si="21"/>
        <v>14802.857142857143</v>
      </c>
      <c r="K163" s="399">
        <f t="shared" si="22"/>
        <v>49342.857142857145</v>
      </c>
      <c r="L163" s="399">
        <f t="shared" si="23"/>
        <v>0</v>
      </c>
      <c r="M163" s="399">
        <f t="shared" si="24"/>
        <v>34540</v>
      </c>
      <c r="N163" s="399">
        <f t="shared" si="25"/>
        <v>0</v>
      </c>
      <c r="O163" s="399">
        <f t="shared" si="26"/>
        <v>0</v>
      </c>
      <c r="P163" s="399">
        <f t="shared" si="27"/>
        <v>14802.857142857143</v>
      </c>
      <c r="Q163" s="399">
        <f t="shared" si="28"/>
        <v>0</v>
      </c>
      <c r="R163" s="399">
        <f t="shared" si="29"/>
        <v>49342.857142857145</v>
      </c>
      <c r="S163" s="399">
        <f t="shared" si="30"/>
        <v>592114.28571428568</v>
      </c>
      <c r="T163" s="95"/>
      <c r="U163" s="536"/>
      <c r="V163" s="299"/>
    </row>
    <row r="164" spans="1:22" hidden="1" x14ac:dyDescent="0.2">
      <c r="A164" s="396" t="s">
        <v>4240</v>
      </c>
      <c r="B164" s="133" t="s">
        <v>4431</v>
      </c>
      <c r="C164" s="133"/>
      <c r="D164" s="399">
        <v>0</v>
      </c>
      <c r="E164" s="399">
        <v>31448</v>
      </c>
      <c r="F164" s="399"/>
      <c r="G164" s="399"/>
      <c r="H164" s="399"/>
      <c r="I164" s="399"/>
      <c r="J164" s="399">
        <f t="shared" si="21"/>
        <v>13477.714285714286</v>
      </c>
      <c r="K164" s="399">
        <f t="shared" si="22"/>
        <v>44925.71428571429</v>
      </c>
      <c r="L164" s="399">
        <f t="shared" si="23"/>
        <v>0</v>
      </c>
      <c r="M164" s="399">
        <f t="shared" si="24"/>
        <v>0</v>
      </c>
      <c r="N164" s="399">
        <f t="shared" si="25"/>
        <v>0</v>
      </c>
      <c r="O164" s="399">
        <f t="shared" si="26"/>
        <v>0</v>
      </c>
      <c r="P164" s="399">
        <f t="shared" si="27"/>
        <v>0</v>
      </c>
      <c r="Q164" s="399">
        <f t="shared" si="28"/>
        <v>0</v>
      </c>
      <c r="R164" s="399">
        <f t="shared" si="29"/>
        <v>0</v>
      </c>
      <c r="S164" s="399">
        <f t="shared" si="30"/>
        <v>0</v>
      </c>
      <c r="T164" s="95"/>
      <c r="U164" s="536"/>
      <c r="V164" s="299"/>
    </row>
    <row r="165" spans="1:22" hidden="1" x14ac:dyDescent="0.2">
      <c r="A165" s="396" t="s">
        <v>4240</v>
      </c>
      <c r="B165" s="133" t="s">
        <v>4242</v>
      </c>
      <c r="C165" s="133"/>
      <c r="D165" s="399">
        <v>0</v>
      </c>
      <c r="E165" s="399">
        <v>26451</v>
      </c>
      <c r="F165" s="399"/>
      <c r="G165" s="399"/>
      <c r="H165" s="399"/>
      <c r="I165" s="399"/>
      <c r="J165" s="399">
        <f t="shared" si="21"/>
        <v>11336.142857142857</v>
      </c>
      <c r="K165" s="399">
        <f t="shared" si="22"/>
        <v>37787.142857142855</v>
      </c>
      <c r="L165" s="399">
        <f t="shared" si="23"/>
        <v>0</v>
      </c>
      <c r="M165" s="399">
        <f t="shared" si="24"/>
        <v>0</v>
      </c>
      <c r="N165" s="399">
        <f t="shared" si="25"/>
        <v>0</v>
      </c>
      <c r="O165" s="399">
        <f t="shared" si="26"/>
        <v>0</v>
      </c>
      <c r="P165" s="399">
        <f t="shared" si="27"/>
        <v>0</v>
      </c>
      <c r="Q165" s="399">
        <f t="shared" si="28"/>
        <v>0</v>
      </c>
      <c r="R165" s="399">
        <f t="shared" si="29"/>
        <v>0</v>
      </c>
      <c r="S165" s="399">
        <f t="shared" si="30"/>
        <v>0</v>
      </c>
      <c r="T165" s="95"/>
      <c r="U165" s="536"/>
      <c r="V165" s="299"/>
    </row>
    <row r="166" spans="1:22" hidden="1" x14ac:dyDescent="0.2">
      <c r="A166" s="396" t="s">
        <v>4241</v>
      </c>
      <c r="B166" s="133" t="s">
        <v>4450</v>
      </c>
      <c r="C166" s="133"/>
      <c r="D166" s="399">
        <v>0</v>
      </c>
      <c r="E166" s="399">
        <v>34540</v>
      </c>
      <c r="F166" s="399"/>
      <c r="G166" s="399"/>
      <c r="H166" s="399"/>
      <c r="I166" s="399"/>
      <c r="J166" s="399">
        <f t="shared" si="21"/>
        <v>14802.857142857143</v>
      </c>
      <c r="K166" s="399">
        <f t="shared" si="22"/>
        <v>49342.857142857145</v>
      </c>
      <c r="L166" s="399">
        <f t="shared" si="23"/>
        <v>0</v>
      </c>
      <c r="M166" s="399">
        <f t="shared" si="24"/>
        <v>0</v>
      </c>
      <c r="N166" s="399">
        <f t="shared" si="25"/>
        <v>0</v>
      </c>
      <c r="O166" s="399">
        <f t="shared" si="26"/>
        <v>0</v>
      </c>
      <c r="P166" s="399">
        <f t="shared" si="27"/>
        <v>0</v>
      </c>
      <c r="Q166" s="399">
        <f t="shared" si="28"/>
        <v>0</v>
      </c>
      <c r="R166" s="399">
        <f t="shared" si="29"/>
        <v>0</v>
      </c>
      <c r="S166" s="399">
        <f t="shared" si="30"/>
        <v>0</v>
      </c>
      <c r="T166" s="95"/>
      <c r="U166" s="536"/>
      <c r="V166" s="299"/>
    </row>
    <row r="167" spans="1:22" x14ac:dyDescent="0.2">
      <c r="A167" s="396" t="s">
        <v>4241</v>
      </c>
      <c r="B167" s="133" t="s">
        <v>4431</v>
      </c>
      <c r="C167" s="133"/>
      <c r="D167" s="399">
        <v>1</v>
      </c>
      <c r="E167" s="399">
        <v>31448</v>
      </c>
      <c r="F167" s="399"/>
      <c r="G167" s="399"/>
      <c r="H167" s="399"/>
      <c r="I167" s="399"/>
      <c r="J167" s="399">
        <f t="shared" si="21"/>
        <v>13477.714285714286</v>
      </c>
      <c r="K167" s="399">
        <f t="shared" si="22"/>
        <v>44925.71428571429</v>
      </c>
      <c r="L167" s="399">
        <f t="shared" si="23"/>
        <v>0</v>
      </c>
      <c r="M167" s="399">
        <f t="shared" si="24"/>
        <v>31448</v>
      </c>
      <c r="N167" s="399">
        <f t="shared" si="25"/>
        <v>0</v>
      </c>
      <c r="O167" s="399">
        <f t="shared" si="26"/>
        <v>0</v>
      </c>
      <c r="P167" s="399">
        <f t="shared" si="27"/>
        <v>13477.714285714286</v>
      </c>
      <c r="Q167" s="399">
        <f t="shared" si="28"/>
        <v>0</v>
      </c>
      <c r="R167" s="399">
        <f t="shared" si="29"/>
        <v>44925.71428571429</v>
      </c>
      <c r="S167" s="399">
        <f t="shared" si="30"/>
        <v>539108.57142857148</v>
      </c>
      <c r="T167" s="95"/>
      <c r="U167" s="536"/>
      <c r="V167" s="299"/>
    </row>
    <row r="168" spans="1:22" hidden="1" x14ac:dyDescent="0.2">
      <c r="A168" s="396" t="s">
        <v>4241</v>
      </c>
      <c r="B168" s="133" t="s">
        <v>4242</v>
      </c>
      <c r="C168" s="133"/>
      <c r="D168" s="399">
        <v>0</v>
      </c>
      <c r="E168" s="399">
        <v>26451</v>
      </c>
      <c r="F168" s="399"/>
      <c r="G168" s="399"/>
      <c r="H168" s="399"/>
      <c r="I168" s="399"/>
      <c r="J168" s="399">
        <f t="shared" si="21"/>
        <v>11336.142857142857</v>
      </c>
      <c r="K168" s="399">
        <f t="shared" si="22"/>
        <v>37787.142857142855</v>
      </c>
      <c r="L168" s="399">
        <f t="shared" si="23"/>
        <v>0</v>
      </c>
      <c r="M168" s="399">
        <f t="shared" si="24"/>
        <v>0</v>
      </c>
      <c r="N168" s="399">
        <f t="shared" si="25"/>
        <v>0</v>
      </c>
      <c r="O168" s="399">
        <f t="shared" si="26"/>
        <v>0</v>
      </c>
      <c r="P168" s="399">
        <f t="shared" si="27"/>
        <v>0</v>
      </c>
      <c r="Q168" s="399">
        <f t="shared" si="28"/>
        <v>0</v>
      </c>
      <c r="R168" s="399">
        <f t="shared" si="29"/>
        <v>0</v>
      </c>
      <c r="S168" s="399">
        <f t="shared" si="30"/>
        <v>0</v>
      </c>
      <c r="T168" s="95"/>
      <c r="U168" s="536"/>
      <c r="V168" s="299"/>
    </row>
    <row r="169" spans="1:22" hidden="1" x14ac:dyDescent="0.2">
      <c r="A169" s="396"/>
      <c r="B169" s="133"/>
      <c r="C169" s="133"/>
      <c r="D169" s="399"/>
      <c r="E169" s="399"/>
      <c r="F169" s="399"/>
      <c r="G169" s="399"/>
      <c r="H169" s="399"/>
      <c r="I169" s="399"/>
      <c r="J169" s="399">
        <f t="shared" si="21"/>
        <v>0</v>
      </c>
      <c r="K169" s="399">
        <f t="shared" si="22"/>
        <v>0</v>
      </c>
      <c r="L169" s="399">
        <f t="shared" si="23"/>
        <v>0</v>
      </c>
      <c r="M169" s="399">
        <f t="shared" si="24"/>
        <v>0</v>
      </c>
      <c r="N169" s="399">
        <f t="shared" si="25"/>
        <v>0</v>
      </c>
      <c r="O169" s="399">
        <f t="shared" si="26"/>
        <v>0</v>
      </c>
      <c r="P169" s="399">
        <f t="shared" si="27"/>
        <v>0</v>
      </c>
      <c r="Q169" s="399">
        <f t="shared" si="28"/>
        <v>0</v>
      </c>
      <c r="R169" s="399">
        <f t="shared" si="29"/>
        <v>0</v>
      </c>
      <c r="S169" s="399">
        <f t="shared" si="30"/>
        <v>0</v>
      </c>
      <c r="T169" s="95"/>
      <c r="U169" s="536"/>
      <c r="V169" s="299"/>
    </row>
    <row r="170" spans="1:22" ht="25.5" hidden="1" x14ac:dyDescent="0.2">
      <c r="A170" s="396" t="s">
        <v>4458</v>
      </c>
      <c r="B170" s="133"/>
      <c r="C170" s="133"/>
      <c r="D170" s="399">
        <v>0</v>
      </c>
      <c r="E170" s="399">
        <v>18055</v>
      </c>
      <c r="F170" s="399"/>
      <c r="G170" s="399"/>
      <c r="H170" s="399"/>
      <c r="I170" s="399"/>
      <c r="J170" s="399">
        <f t="shared" si="21"/>
        <v>7737.8571428571431</v>
      </c>
      <c r="K170" s="399">
        <f t="shared" si="22"/>
        <v>25792.857142857145</v>
      </c>
      <c r="L170" s="399">
        <f t="shared" si="23"/>
        <v>0</v>
      </c>
      <c r="M170" s="399">
        <f t="shared" si="24"/>
        <v>0</v>
      </c>
      <c r="N170" s="399">
        <f t="shared" si="25"/>
        <v>0</v>
      </c>
      <c r="O170" s="399">
        <f t="shared" si="26"/>
        <v>0</v>
      </c>
      <c r="P170" s="399">
        <f t="shared" si="27"/>
        <v>0</v>
      </c>
      <c r="Q170" s="399">
        <f t="shared" si="28"/>
        <v>0</v>
      </c>
      <c r="R170" s="399">
        <f t="shared" si="29"/>
        <v>0</v>
      </c>
      <c r="S170" s="399">
        <f t="shared" si="30"/>
        <v>0</v>
      </c>
      <c r="T170" s="95"/>
      <c r="U170" s="536"/>
      <c r="V170" s="299"/>
    </row>
    <row r="171" spans="1:22" ht="25.5" hidden="1" x14ac:dyDescent="0.2">
      <c r="A171" s="396" t="s">
        <v>4460</v>
      </c>
      <c r="B171" s="133"/>
      <c r="C171" s="133"/>
      <c r="D171" s="399">
        <v>0</v>
      </c>
      <c r="E171" s="399">
        <v>17581</v>
      </c>
      <c r="F171" s="399"/>
      <c r="G171" s="399"/>
      <c r="H171" s="399"/>
      <c r="I171" s="399"/>
      <c r="J171" s="399">
        <f t="shared" si="21"/>
        <v>7534.7142857142853</v>
      </c>
      <c r="K171" s="399">
        <f t="shared" si="22"/>
        <v>25115.714285714286</v>
      </c>
      <c r="L171" s="399">
        <f t="shared" si="23"/>
        <v>0</v>
      </c>
      <c r="M171" s="399">
        <f t="shared" si="24"/>
        <v>0</v>
      </c>
      <c r="N171" s="399">
        <f t="shared" si="25"/>
        <v>0</v>
      </c>
      <c r="O171" s="399">
        <f t="shared" si="26"/>
        <v>0</v>
      </c>
      <c r="P171" s="399">
        <f t="shared" si="27"/>
        <v>0</v>
      </c>
      <c r="Q171" s="399">
        <f t="shared" si="28"/>
        <v>0</v>
      </c>
      <c r="R171" s="399">
        <f t="shared" si="29"/>
        <v>0</v>
      </c>
      <c r="S171" s="399">
        <f t="shared" si="30"/>
        <v>0</v>
      </c>
      <c r="T171" s="95"/>
      <c r="U171" s="536"/>
      <c r="V171" s="299"/>
    </row>
    <row r="172" spans="1:22" x14ac:dyDescent="0.2">
      <c r="A172" s="396" t="s">
        <v>4243</v>
      </c>
      <c r="B172" s="133"/>
      <c r="C172" s="133"/>
      <c r="D172" s="399">
        <v>1</v>
      </c>
      <c r="E172" s="399">
        <v>14501</v>
      </c>
      <c r="F172" s="399"/>
      <c r="G172" s="399"/>
      <c r="H172" s="399"/>
      <c r="I172" s="399"/>
      <c r="J172" s="399">
        <f t="shared" si="21"/>
        <v>6214.7142857142853</v>
      </c>
      <c r="K172" s="399">
        <f t="shared" si="22"/>
        <v>20715.714285714286</v>
      </c>
      <c r="L172" s="399">
        <f t="shared" si="23"/>
        <v>2284.2857142857138</v>
      </c>
      <c r="M172" s="399">
        <f t="shared" si="24"/>
        <v>14501</v>
      </c>
      <c r="N172" s="399">
        <f t="shared" si="25"/>
        <v>0</v>
      </c>
      <c r="O172" s="399">
        <f t="shared" si="26"/>
        <v>0</v>
      </c>
      <c r="P172" s="399">
        <f t="shared" si="27"/>
        <v>6214.7142857142853</v>
      </c>
      <c r="Q172" s="399">
        <f t="shared" si="28"/>
        <v>2284.2857142857138</v>
      </c>
      <c r="R172" s="399">
        <f t="shared" si="29"/>
        <v>23000</v>
      </c>
      <c r="S172" s="399">
        <f t="shared" si="30"/>
        <v>276000</v>
      </c>
      <c r="T172" s="95"/>
      <c r="U172" s="536"/>
      <c r="V172" s="299"/>
    </row>
    <row r="173" spans="1:22" ht="25.5" x14ac:dyDescent="0.2">
      <c r="A173" s="396" t="s">
        <v>4244</v>
      </c>
      <c r="B173" s="133" t="s">
        <v>4242</v>
      </c>
      <c r="C173" s="133"/>
      <c r="D173" s="399">
        <v>1</v>
      </c>
      <c r="E173" s="399">
        <v>20179</v>
      </c>
      <c r="F173" s="399"/>
      <c r="G173" s="399"/>
      <c r="H173" s="399"/>
      <c r="I173" s="399"/>
      <c r="J173" s="399">
        <f t="shared" si="21"/>
        <v>8648.1428571428569</v>
      </c>
      <c r="K173" s="399">
        <f t="shared" si="22"/>
        <v>28827.142857142855</v>
      </c>
      <c r="L173" s="399">
        <f t="shared" si="23"/>
        <v>0</v>
      </c>
      <c r="M173" s="399">
        <f t="shared" si="24"/>
        <v>20179</v>
      </c>
      <c r="N173" s="399">
        <f t="shared" si="25"/>
        <v>0</v>
      </c>
      <c r="O173" s="399">
        <f t="shared" si="26"/>
        <v>0</v>
      </c>
      <c r="P173" s="399">
        <f t="shared" si="27"/>
        <v>8648.1428571428569</v>
      </c>
      <c r="Q173" s="399">
        <f t="shared" si="28"/>
        <v>0</v>
      </c>
      <c r="R173" s="399">
        <f t="shared" si="29"/>
        <v>28827.142857142855</v>
      </c>
      <c r="S173" s="399">
        <f t="shared" si="30"/>
        <v>345925.71428571426</v>
      </c>
      <c r="T173" s="95"/>
      <c r="U173" s="536"/>
      <c r="V173" s="299"/>
    </row>
    <row r="174" spans="1:22" hidden="1" x14ac:dyDescent="0.2">
      <c r="A174" s="396" t="s">
        <v>4462</v>
      </c>
      <c r="B174" s="133" t="s">
        <v>4624</v>
      </c>
      <c r="C174" s="133"/>
      <c r="D174" s="399">
        <v>0</v>
      </c>
      <c r="E174" s="399">
        <v>0</v>
      </c>
      <c r="F174" s="399"/>
      <c r="G174" s="399"/>
      <c r="H174" s="399"/>
      <c r="I174" s="399"/>
      <c r="J174" s="399">
        <f t="shared" si="21"/>
        <v>0</v>
      </c>
      <c r="K174" s="399">
        <f t="shared" si="22"/>
        <v>0</v>
      </c>
      <c r="L174" s="399">
        <f t="shared" si="23"/>
        <v>0</v>
      </c>
      <c r="M174" s="399">
        <f t="shared" si="24"/>
        <v>0</v>
      </c>
      <c r="N174" s="399">
        <f t="shared" si="25"/>
        <v>0</v>
      </c>
      <c r="O174" s="399">
        <f t="shared" si="26"/>
        <v>0</v>
      </c>
      <c r="P174" s="399">
        <f t="shared" si="27"/>
        <v>0</v>
      </c>
      <c r="Q174" s="399">
        <f t="shared" si="28"/>
        <v>0</v>
      </c>
      <c r="R174" s="399">
        <f t="shared" si="29"/>
        <v>0</v>
      </c>
      <c r="S174" s="399">
        <f t="shared" si="30"/>
        <v>0</v>
      </c>
      <c r="T174" s="95"/>
      <c r="U174" s="536"/>
      <c r="V174" s="299"/>
    </row>
    <row r="175" spans="1:22" ht="25.5" hidden="1" x14ac:dyDescent="0.2">
      <c r="A175" s="396" t="s">
        <v>4278</v>
      </c>
      <c r="B175" s="133" t="s">
        <v>4279</v>
      </c>
      <c r="C175" s="133"/>
      <c r="D175" s="399">
        <v>0</v>
      </c>
      <c r="E175" s="399">
        <v>0</v>
      </c>
      <c r="F175" s="399"/>
      <c r="G175" s="399"/>
      <c r="H175" s="399"/>
      <c r="I175" s="399"/>
      <c r="J175" s="399">
        <f t="shared" si="21"/>
        <v>0</v>
      </c>
      <c r="K175" s="399">
        <f t="shared" si="22"/>
        <v>0</v>
      </c>
      <c r="L175" s="399">
        <f t="shared" si="23"/>
        <v>0</v>
      </c>
      <c r="M175" s="399">
        <f t="shared" si="24"/>
        <v>0</v>
      </c>
      <c r="N175" s="399">
        <f t="shared" si="25"/>
        <v>0</v>
      </c>
      <c r="O175" s="399">
        <f t="shared" si="26"/>
        <v>0</v>
      </c>
      <c r="P175" s="399">
        <f t="shared" si="27"/>
        <v>0</v>
      </c>
      <c r="Q175" s="399">
        <f t="shared" si="28"/>
        <v>0</v>
      </c>
      <c r="R175" s="399">
        <f t="shared" si="29"/>
        <v>0</v>
      </c>
      <c r="S175" s="399">
        <f t="shared" si="30"/>
        <v>0</v>
      </c>
      <c r="T175" s="95"/>
      <c r="U175" s="536"/>
      <c r="V175" s="299"/>
    </row>
    <row r="176" spans="1:22" hidden="1" x14ac:dyDescent="0.2">
      <c r="A176" s="396" t="s">
        <v>4245</v>
      </c>
      <c r="B176" s="133" t="s">
        <v>4625</v>
      </c>
      <c r="C176" s="133"/>
      <c r="D176" s="399">
        <v>0</v>
      </c>
      <c r="E176" s="399">
        <v>11092</v>
      </c>
      <c r="F176" s="399"/>
      <c r="G176" s="399"/>
      <c r="H176" s="399"/>
      <c r="I176" s="399"/>
      <c r="J176" s="399">
        <f t="shared" si="21"/>
        <v>4753.7142857142853</v>
      </c>
      <c r="K176" s="399">
        <f t="shared" si="22"/>
        <v>15845.714285714286</v>
      </c>
      <c r="L176" s="399">
        <f t="shared" si="23"/>
        <v>0</v>
      </c>
      <c r="M176" s="399">
        <f t="shared" si="24"/>
        <v>0</v>
      </c>
      <c r="N176" s="399">
        <f t="shared" si="25"/>
        <v>0</v>
      </c>
      <c r="O176" s="399">
        <f t="shared" si="26"/>
        <v>0</v>
      </c>
      <c r="P176" s="399">
        <f t="shared" si="27"/>
        <v>0</v>
      </c>
      <c r="Q176" s="399">
        <f t="shared" si="28"/>
        <v>0</v>
      </c>
      <c r="R176" s="399">
        <f t="shared" si="29"/>
        <v>0</v>
      </c>
      <c r="S176" s="399">
        <f t="shared" si="30"/>
        <v>0</v>
      </c>
      <c r="T176" s="95"/>
      <c r="U176" s="536"/>
      <c r="V176" s="299"/>
    </row>
    <row r="177" spans="1:22" ht="25.5" x14ac:dyDescent="0.2">
      <c r="A177" s="396" t="s">
        <v>4278</v>
      </c>
      <c r="B177" s="133" t="s">
        <v>4246</v>
      </c>
      <c r="C177" s="133"/>
      <c r="D177" s="399">
        <v>1</v>
      </c>
      <c r="E177" s="399">
        <v>12128</v>
      </c>
      <c r="F177" s="399"/>
      <c r="G177" s="399"/>
      <c r="H177" s="399"/>
      <c r="I177" s="399"/>
      <c r="J177" s="399">
        <f t="shared" si="21"/>
        <v>5197.7142857142862</v>
      </c>
      <c r="K177" s="399">
        <f t="shared" si="22"/>
        <v>17325.714285714286</v>
      </c>
      <c r="L177" s="399">
        <f t="shared" si="23"/>
        <v>5674.2857142857138</v>
      </c>
      <c r="M177" s="399">
        <f t="shared" si="24"/>
        <v>12128</v>
      </c>
      <c r="N177" s="399">
        <f t="shared" si="25"/>
        <v>0</v>
      </c>
      <c r="O177" s="399">
        <f t="shared" si="26"/>
        <v>0</v>
      </c>
      <c r="P177" s="399">
        <f t="shared" si="27"/>
        <v>5197.7142857142862</v>
      </c>
      <c r="Q177" s="399">
        <f t="shared" si="28"/>
        <v>5674.2857142857138</v>
      </c>
      <c r="R177" s="399">
        <f t="shared" si="29"/>
        <v>23000</v>
      </c>
      <c r="S177" s="399">
        <f t="shared" si="30"/>
        <v>276000</v>
      </c>
      <c r="T177" s="95"/>
      <c r="U177" s="536"/>
      <c r="V177" s="299"/>
    </row>
    <row r="178" spans="1:22" hidden="1" x14ac:dyDescent="0.2">
      <c r="A178" s="396" t="s">
        <v>4247</v>
      </c>
      <c r="B178" s="133" t="s">
        <v>4626</v>
      </c>
      <c r="C178" s="133"/>
      <c r="D178" s="399">
        <v>0</v>
      </c>
      <c r="E178" s="399">
        <v>15508</v>
      </c>
      <c r="F178" s="399"/>
      <c r="G178" s="399"/>
      <c r="H178" s="399"/>
      <c r="I178" s="399"/>
      <c r="J178" s="399">
        <f t="shared" si="21"/>
        <v>6646.2857142857147</v>
      </c>
      <c r="K178" s="399">
        <f t="shared" si="22"/>
        <v>22154.285714285714</v>
      </c>
      <c r="L178" s="399">
        <f t="shared" si="23"/>
        <v>0</v>
      </c>
      <c r="M178" s="399">
        <f t="shared" si="24"/>
        <v>0</v>
      </c>
      <c r="N178" s="399">
        <f t="shared" si="25"/>
        <v>0</v>
      </c>
      <c r="O178" s="399">
        <f t="shared" si="26"/>
        <v>0</v>
      </c>
      <c r="P178" s="399">
        <f t="shared" si="27"/>
        <v>0</v>
      </c>
      <c r="Q178" s="399">
        <f t="shared" si="28"/>
        <v>0</v>
      </c>
      <c r="R178" s="399">
        <f t="shared" si="29"/>
        <v>0</v>
      </c>
      <c r="S178" s="399">
        <f t="shared" si="30"/>
        <v>0</v>
      </c>
      <c r="T178" s="95"/>
      <c r="U178" s="536"/>
      <c r="V178" s="299"/>
    </row>
    <row r="179" spans="1:22" x14ac:dyDescent="0.2">
      <c r="A179" s="396" t="s">
        <v>4247</v>
      </c>
      <c r="B179" s="133" t="s">
        <v>4627</v>
      </c>
      <c r="C179" s="133"/>
      <c r="D179" s="399">
        <v>3</v>
      </c>
      <c r="E179" s="399">
        <v>16999</v>
      </c>
      <c r="F179" s="399"/>
      <c r="G179" s="399"/>
      <c r="H179" s="399"/>
      <c r="I179" s="399"/>
      <c r="J179" s="399">
        <f t="shared" si="21"/>
        <v>7285.2857142857147</v>
      </c>
      <c r="K179" s="399">
        <f t="shared" si="22"/>
        <v>24284.285714285714</v>
      </c>
      <c r="L179" s="399">
        <f t="shared" si="23"/>
        <v>0</v>
      </c>
      <c r="M179" s="399">
        <f t="shared" si="24"/>
        <v>50997</v>
      </c>
      <c r="N179" s="399">
        <f t="shared" si="25"/>
        <v>0</v>
      </c>
      <c r="O179" s="399">
        <f t="shared" si="26"/>
        <v>0</v>
      </c>
      <c r="P179" s="399">
        <f t="shared" si="27"/>
        <v>21855.857142857145</v>
      </c>
      <c r="Q179" s="399">
        <f t="shared" si="28"/>
        <v>0</v>
      </c>
      <c r="R179" s="399">
        <f t="shared" si="29"/>
        <v>72852.857142857145</v>
      </c>
      <c r="S179" s="399">
        <f t="shared" si="30"/>
        <v>874234.28571428568</v>
      </c>
      <c r="T179" s="95"/>
      <c r="U179" s="536"/>
      <c r="V179" s="299"/>
    </row>
    <row r="180" spans="1:22" x14ac:dyDescent="0.2">
      <c r="A180" s="396"/>
      <c r="B180" s="133"/>
      <c r="C180" s="133"/>
      <c r="D180" s="399"/>
      <c r="E180" s="399"/>
      <c r="F180" s="399"/>
      <c r="G180" s="399"/>
      <c r="H180" s="399"/>
      <c r="I180" s="399"/>
      <c r="J180" s="399">
        <f t="shared" si="21"/>
        <v>0</v>
      </c>
      <c r="K180" s="399">
        <f t="shared" si="22"/>
        <v>0</v>
      </c>
      <c r="L180" s="399">
        <f t="shared" si="23"/>
        <v>0</v>
      </c>
      <c r="M180" s="399">
        <f t="shared" si="24"/>
        <v>0</v>
      </c>
      <c r="N180" s="399">
        <f t="shared" si="25"/>
        <v>0</v>
      </c>
      <c r="O180" s="399">
        <f t="shared" si="26"/>
        <v>0</v>
      </c>
      <c r="P180" s="399">
        <f t="shared" si="27"/>
        <v>0</v>
      </c>
      <c r="Q180" s="399">
        <f t="shared" si="28"/>
        <v>0</v>
      </c>
      <c r="R180" s="399">
        <f t="shared" si="29"/>
        <v>0</v>
      </c>
      <c r="S180" s="399">
        <f t="shared" si="30"/>
        <v>0</v>
      </c>
      <c r="T180" s="95"/>
      <c r="U180" s="536"/>
      <c r="V180" s="299"/>
    </row>
    <row r="181" spans="1:22" ht="25.5" hidden="1" x14ac:dyDescent="0.2">
      <c r="A181" s="396" t="s">
        <v>4248</v>
      </c>
      <c r="B181" s="133" t="s">
        <v>4246</v>
      </c>
      <c r="C181" s="133"/>
      <c r="D181" s="399">
        <v>0</v>
      </c>
      <c r="E181" s="399">
        <v>10200</v>
      </c>
      <c r="F181" s="399"/>
      <c r="G181" s="399"/>
      <c r="H181" s="399"/>
      <c r="I181" s="399"/>
      <c r="J181" s="399">
        <f t="shared" si="21"/>
        <v>4371.4285714285716</v>
      </c>
      <c r="K181" s="399">
        <f t="shared" si="22"/>
        <v>14571.428571428572</v>
      </c>
      <c r="L181" s="399">
        <f t="shared" si="23"/>
        <v>0</v>
      </c>
      <c r="M181" s="399">
        <f t="shared" si="24"/>
        <v>0</v>
      </c>
      <c r="N181" s="399">
        <f t="shared" si="25"/>
        <v>0</v>
      </c>
      <c r="O181" s="399">
        <f t="shared" si="26"/>
        <v>0</v>
      </c>
      <c r="P181" s="399">
        <f t="shared" si="27"/>
        <v>0</v>
      </c>
      <c r="Q181" s="399">
        <f t="shared" si="28"/>
        <v>0</v>
      </c>
      <c r="R181" s="399">
        <f t="shared" si="29"/>
        <v>0</v>
      </c>
      <c r="S181" s="399">
        <f t="shared" si="30"/>
        <v>0</v>
      </c>
      <c r="T181" s="95"/>
      <c r="U181" s="536"/>
      <c r="V181" s="299"/>
    </row>
    <row r="182" spans="1:22" ht="25.5" hidden="1" x14ac:dyDescent="0.2">
      <c r="A182" s="396" t="s">
        <v>4248</v>
      </c>
      <c r="B182" s="133" t="s">
        <v>4628</v>
      </c>
      <c r="C182" s="133"/>
      <c r="D182" s="399">
        <v>0</v>
      </c>
      <c r="E182" s="399">
        <v>9753</v>
      </c>
      <c r="F182" s="399"/>
      <c r="G182" s="399"/>
      <c r="H182" s="399"/>
      <c r="I182" s="399"/>
      <c r="J182" s="399">
        <f t="shared" si="21"/>
        <v>4179.8571428571431</v>
      </c>
      <c r="K182" s="399">
        <f t="shared" si="22"/>
        <v>13932.857142857143</v>
      </c>
      <c r="L182" s="399">
        <f t="shared" si="23"/>
        <v>0</v>
      </c>
      <c r="M182" s="399">
        <f t="shared" si="24"/>
        <v>0</v>
      </c>
      <c r="N182" s="399">
        <f t="shared" si="25"/>
        <v>0</v>
      </c>
      <c r="O182" s="399">
        <f t="shared" si="26"/>
        <v>0</v>
      </c>
      <c r="P182" s="399">
        <f t="shared" si="27"/>
        <v>0</v>
      </c>
      <c r="Q182" s="399">
        <f t="shared" si="28"/>
        <v>0</v>
      </c>
      <c r="R182" s="399">
        <f t="shared" si="29"/>
        <v>0</v>
      </c>
      <c r="S182" s="399">
        <f t="shared" si="30"/>
        <v>0</v>
      </c>
      <c r="T182" s="95"/>
      <c r="U182" s="536"/>
      <c r="V182" s="299"/>
    </row>
    <row r="183" spans="1:22" ht="25.5" x14ac:dyDescent="0.2">
      <c r="A183" s="396" t="s">
        <v>4248</v>
      </c>
      <c r="B183" s="133" t="s">
        <v>4249</v>
      </c>
      <c r="C183" s="133"/>
      <c r="D183" s="399">
        <v>1</v>
      </c>
      <c r="E183" s="399">
        <v>9289</v>
      </c>
      <c r="F183" s="399"/>
      <c r="G183" s="399"/>
      <c r="H183" s="399"/>
      <c r="I183" s="399"/>
      <c r="J183" s="399">
        <f t="shared" si="21"/>
        <v>3980.9999999999995</v>
      </c>
      <c r="K183" s="399">
        <f t="shared" si="22"/>
        <v>13270</v>
      </c>
      <c r="L183" s="399">
        <f t="shared" si="23"/>
        <v>9730</v>
      </c>
      <c r="M183" s="399">
        <f t="shared" si="24"/>
        <v>9289</v>
      </c>
      <c r="N183" s="399">
        <f t="shared" si="25"/>
        <v>0</v>
      </c>
      <c r="O183" s="399">
        <f t="shared" si="26"/>
        <v>0</v>
      </c>
      <c r="P183" s="399">
        <f t="shared" si="27"/>
        <v>3980.9999999999995</v>
      </c>
      <c r="Q183" s="399">
        <f t="shared" si="28"/>
        <v>9730</v>
      </c>
      <c r="R183" s="399">
        <f t="shared" si="29"/>
        <v>23000</v>
      </c>
      <c r="S183" s="399">
        <f t="shared" si="30"/>
        <v>276000</v>
      </c>
      <c r="T183" s="95"/>
      <c r="U183" s="536"/>
      <c r="V183" s="299"/>
    </row>
    <row r="184" spans="1:22" x14ac:dyDescent="0.2">
      <c r="A184" s="396" t="s">
        <v>4250</v>
      </c>
      <c r="B184" s="133" t="s">
        <v>4251</v>
      </c>
      <c r="C184" s="133"/>
      <c r="D184" s="399">
        <v>1.25</v>
      </c>
      <c r="E184" s="399">
        <v>8923</v>
      </c>
      <c r="F184" s="399"/>
      <c r="G184" s="399"/>
      <c r="H184" s="399"/>
      <c r="I184" s="399"/>
      <c r="J184" s="399">
        <f t="shared" si="21"/>
        <v>3824.1428571428573</v>
      </c>
      <c r="K184" s="399">
        <f t="shared" si="22"/>
        <v>12747.142857142857</v>
      </c>
      <c r="L184" s="399">
        <f t="shared" si="23"/>
        <v>10252.857142857143</v>
      </c>
      <c r="M184" s="399">
        <f t="shared" si="24"/>
        <v>11153.75</v>
      </c>
      <c r="N184" s="399">
        <f t="shared" si="25"/>
        <v>0</v>
      </c>
      <c r="O184" s="399">
        <f t="shared" si="26"/>
        <v>0</v>
      </c>
      <c r="P184" s="399">
        <f t="shared" si="27"/>
        <v>4780.1785714285716</v>
      </c>
      <c r="Q184" s="399">
        <f t="shared" si="28"/>
        <v>12816.071428571429</v>
      </c>
      <c r="R184" s="399">
        <f t="shared" si="29"/>
        <v>28750</v>
      </c>
      <c r="S184" s="399">
        <f t="shared" si="30"/>
        <v>345000</v>
      </c>
      <c r="T184" s="95"/>
      <c r="U184" s="536"/>
      <c r="V184" s="299"/>
    </row>
    <row r="185" spans="1:22" x14ac:dyDescent="0.2">
      <c r="A185" s="396" t="s">
        <v>4252</v>
      </c>
      <c r="B185" s="133" t="s">
        <v>4251</v>
      </c>
      <c r="C185" s="133"/>
      <c r="D185" s="399">
        <v>2</v>
      </c>
      <c r="E185" s="399">
        <v>8923</v>
      </c>
      <c r="F185" s="399"/>
      <c r="G185" s="399"/>
      <c r="H185" s="399"/>
      <c r="I185" s="399"/>
      <c r="J185" s="399">
        <f t="shared" si="21"/>
        <v>3824.1428571428573</v>
      </c>
      <c r="K185" s="399">
        <f t="shared" si="22"/>
        <v>12747.142857142857</v>
      </c>
      <c r="L185" s="399">
        <f t="shared" si="23"/>
        <v>10252.857142857143</v>
      </c>
      <c r="M185" s="399">
        <f t="shared" si="24"/>
        <v>17846</v>
      </c>
      <c r="N185" s="399">
        <f t="shared" si="25"/>
        <v>0</v>
      </c>
      <c r="O185" s="399">
        <f t="shared" si="26"/>
        <v>0</v>
      </c>
      <c r="P185" s="399">
        <f t="shared" si="27"/>
        <v>7648.2857142857147</v>
      </c>
      <c r="Q185" s="399">
        <f t="shared" si="28"/>
        <v>20505.714285714286</v>
      </c>
      <c r="R185" s="399">
        <f t="shared" si="29"/>
        <v>46000</v>
      </c>
      <c r="S185" s="399">
        <f t="shared" si="30"/>
        <v>552000</v>
      </c>
      <c r="T185" s="95"/>
      <c r="U185" s="536"/>
      <c r="V185" s="299"/>
    </row>
    <row r="186" spans="1:22" ht="25.5" x14ac:dyDescent="0.2">
      <c r="A186" s="396" t="s">
        <v>4253</v>
      </c>
      <c r="B186" s="133" t="s">
        <v>4251</v>
      </c>
      <c r="C186" s="133"/>
      <c r="D186" s="399">
        <v>3.25</v>
      </c>
      <c r="E186" s="399">
        <v>8923</v>
      </c>
      <c r="F186" s="399"/>
      <c r="G186" s="399"/>
      <c r="H186" s="399"/>
      <c r="I186" s="399"/>
      <c r="J186" s="399">
        <f t="shared" si="21"/>
        <v>3824.1428571428573</v>
      </c>
      <c r="K186" s="399">
        <f t="shared" si="22"/>
        <v>12747.142857142857</v>
      </c>
      <c r="L186" s="399">
        <f t="shared" si="23"/>
        <v>10252.857142857143</v>
      </c>
      <c r="M186" s="399">
        <f t="shared" si="24"/>
        <v>28999.75</v>
      </c>
      <c r="N186" s="399">
        <f t="shared" si="25"/>
        <v>0</v>
      </c>
      <c r="O186" s="399">
        <f t="shared" si="26"/>
        <v>0</v>
      </c>
      <c r="P186" s="399">
        <f t="shared" si="27"/>
        <v>12428.464285714286</v>
      </c>
      <c r="Q186" s="399">
        <f t="shared" si="28"/>
        <v>33321.785714285717</v>
      </c>
      <c r="R186" s="399">
        <f t="shared" si="29"/>
        <v>74750</v>
      </c>
      <c r="S186" s="399">
        <f t="shared" si="30"/>
        <v>897000</v>
      </c>
      <c r="T186" s="95"/>
      <c r="U186" s="536"/>
      <c r="V186" s="299"/>
    </row>
    <row r="187" spans="1:22" x14ac:dyDescent="0.2">
      <c r="A187" s="634"/>
      <c r="B187" s="632"/>
      <c r="C187" s="632"/>
      <c r="D187" s="629">
        <f>SUM(D10:D186)</f>
        <v>100.46875</v>
      </c>
      <c r="E187" s="629"/>
      <c r="F187" s="629">
        <f t="shared" ref="F187:S187" si="31">SUM(F10:F186)</f>
        <v>31297.200000000001</v>
      </c>
      <c r="G187" s="629">
        <f t="shared" si="31"/>
        <v>0</v>
      </c>
      <c r="H187" s="629">
        <f t="shared" si="31"/>
        <v>0</v>
      </c>
      <c r="I187" s="629">
        <f t="shared" si="31"/>
        <v>6000</v>
      </c>
      <c r="J187" s="629">
        <f t="shared" si="31"/>
        <v>584065.71428571409</v>
      </c>
      <c r="K187" s="629">
        <f t="shared" si="31"/>
        <v>1984182.9142857145</v>
      </c>
      <c r="L187" s="629">
        <f t="shared" si="31"/>
        <v>48447.142857142862</v>
      </c>
      <c r="M187" s="629">
        <f t="shared" si="31"/>
        <v>3098328.59375</v>
      </c>
      <c r="N187" s="629">
        <f t="shared" si="31"/>
        <v>189500</v>
      </c>
      <c r="O187" s="629">
        <f t="shared" si="31"/>
        <v>31297.200000000001</v>
      </c>
      <c r="P187" s="629">
        <f t="shared" si="31"/>
        <v>1327855.111607143</v>
      </c>
      <c r="Q187" s="629">
        <f t="shared" si="31"/>
        <v>84332.14285714287</v>
      </c>
      <c r="R187" s="629">
        <f t="shared" si="31"/>
        <v>4731313.0482142866</v>
      </c>
      <c r="S187" s="629">
        <f t="shared" si="31"/>
        <v>56775756.578571424</v>
      </c>
      <c r="T187" s="95"/>
      <c r="U187" s="536"/>
      <c r="V187" s="299"/>
    </row>
    <row r="188" spans="1:22" x14ac:dyDescent="0.2">
      <c r="A188" s="634"/>
      <c r="B188" s="632"/>
      <c r="C188" s="632"/>
      <c r="D188" s="629"/>
      <c r="E188" s="632"/>
      <c r="F188" s="632"/>
      <c r="G188" s="632"/>
      <c r="H188" s="632"/>
      <c r="I188" s="632"/>
      <c r="J188" s="632"/>
      <c r="K188" s="632"/>
      <c r="L188" s="632"/>
      <c r="M188" s="629"/>
      <c r="N188" s="629"/>
      <c r="O188" s="629"/>
      <c r="P188" s="629"/>
      <c r="Q188" s="629"/>
      <c r="R188" s="629"/>
      <c r="S188" s="629"/>
      <c r="T188" s="95"/>
      <c r="U188" s="536"/>
      <c r="V188" s="299"/>
    </row>
    <row r="189" spans="1:22" x14ac:dyDescent="0.2">
      <c r="A189" s="95"/>
      <c r="B189" s="95"/>
      <c r="C189" s="95"/>
      <c r="D189" s="55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641"/>
      <c r="S189" s="95"/>
      <c r="T189" s="95"/>
      <c r="U189" s="536"/>
      <c r="V189" s="299"/>
    </row>
    <row r="190" spans="1:22" ht="51" x14ac:dyDescent="0.2">
      <c r="A190" s="798" t="s">
        <v>4255</v>
      </c>
      <c r="B190" s="798"/>
      <c r="C190" s="537" t="s">
        <v>4050</v>
      </c>
      <c r="D190" s="538"/>
      <c r="E190" s="538"/>
      <c r="F190" s="538"/>
      <c r="G190" s="133" t="s">
        <v>4266</v>
      </c>
      <c r="H190" s="556" t="s">
        <v>4267</v>
      </c>
      <c r="I190" s="95"/>
      <c r="J190" s="95"/>
      <c r="K190" s="95"/>
      <c r="L190" s="95"/>
      <c r="M190" s="95"/>
      <c r="N190" s="95"/>
      <c r="O190" s="95"/>
      <c r="P190" s="95"/>
      <c r="Q190" s="95"/>
      <c r="R190" s="95"/>
      <c r="S190" s="557"/>
      <c r="T190" s="95"/>
      <c r="U190" s="165"/>
    </row>
    <row r="191" spans="1:22" x14ac:dyDescent="0.2">
      <c r="A191" s="798"/>
      <c r="B191" s="798"/>
      <c r="C191" s="537" t="s">
        <v>4256</v>
      </c>
      <c r="D191" s="537" t="s">
        <v>4257</v>
      </c>
      <c r="E191" s="537" t="s">
        <v>4258</v>
      </c>
      <c r="F191" s="537" t="s">
        <v>4259</v>
      </c>
      <c r="G191" s="133"/>
      <c r="H191" s="133"/>
      <c r="I191" s="95"/>
      <c r="J191" s="95"/>
      <c r="K191" s="95"/>
      <c r="L191" s="95"/>
      <c r="M191" s="95"/>
      <c r="N191" s="95"/>
      <c r="O191" s="95"/>
      <c r="P191" s="95"/>
      <c r="Q191" s="95"/>
      <c r="R191" s="95"/>
      <c r="S191" s="95"/>
      <c r="T191" s="95"/>
    </row>
    <row r="192" spans="1:22" x14ac:dyDescent="0.2">
      <c r="A192" s="802" t="s">
        <v>4261</v>
      </c>
      <c r="B192" s="803"/>
      <c r="C192" s="81">
        <v>98</v>
      </c>
      <c r="D192" s="81">
        <v>1237</v>
      </c>
      <c r="E192" s="81">
        <v>1148.75</v>
      </c>
      <c r="F192" s="81">
        <v>4271</v>
      </c>
      <c r="G192" s="133">
        <f>F192/D192</f>
        <v>3.452708164915117</v>
      </c>
      <c r="H192" s="133"/>
      <c r="I192" s="95"/>
      <c r="J192" s="95"/>
      <c r="K192" s="95"/>
      <c r="L192" s="95"/>
      <c r="M192" s="95"/>
      <c r="N192" s="95"/>
      <c r="O192" s="95"/>
      <c r="P192" s="95"/>
      <c r="Q192" s="95"/>
      <c r="R192" s="95"/>
      <c r="S192" s="95"/>
      <c r="T192" s="95"/>
    </row>
    <row r="193" spans="1:20" x14ac:dyDescent="0.2">
      <c r="A193" s="799" t="s">
        <v>4260</v>
      </c>
      <c r="B193" s="799"/>
      <c r="C193" s="81">
        <v>82</v>
      </c>
      <c r="D193" s="81">
        <v>1176</v>
      </c>
      <c r="E193" s="81">
        <v>163.5</v>
      </c>
      <c r="F193" s="81">
        <v>2302</v>
      </c>
      <c r="G193" s="133">
        <f>F193/D193</f>
        <v>1.9574829931972788</v>
      </c>
      <c r="H193" s="133"/>
      <c r="I193" s="95"/>
      <c r="J193" s="95"/>
      <c r="K193" s="95"/>
      <c r="L193" s="95"/>
      <c r="M193" s="95"/>
      <c r="N193" s="95"/>
      <c r="O193" s="95"/>
      <c r="P193" s="95"/>
      <c r="Q193" s="95"/>
      <c r="R193" s="95"/>
      <c r="S193" s="95"/>
      <c r="T193" s="95"/>
    </row>
    <row r="194" spans="1:20" x14ac:dyDescent="0.2">
      <c r="A194" s="800" t="s">
        <v>4265</v>
      </c>
      <c r="B194" s="800"/>
      <c r="C194" s="538">
        <f>SUM(C192:C193)</f>
        <v>180</v>
      </c>
      <c r="D194" s="538">
        <f>SUM(D192:D193)</f>
        <v>2413</v>
      </c>
      <c r="E194" s="538">
        <f>SUM(E192:E193)</f>
        <v>1312.25</v>
      </c>
      <c r="F194" s="554">
        <f>SUM(F192:F193)</f>
        <v>6573</v>
      </c>
      <c r="G194" s="438">
        <f>S187</f>
        <v>56775756.578571424</v>
      </c>
      <c r="H194" s="554">
        <f>G194/D194</f>
        <v>23529.115863477589</v>
      </c>
      <c r="I194" s="95"/>
      <c r="J194" s="95"/>
      <c r="K194" s="95"/>
      <c r="L194" s="95"/>
      <c r="M194" s="95"/>
      <c r="N194" s="95"/>
      <c r="O194" s="95"/>
      <c r="P194" s="95"/>
      <c r="Q194" s="95"/>
      <c r="R194" s="95"/>
      <c r="S194" s="95"/>
      <c r="T194" s="95"/>
    </row>
    <row r="195" spans="1:20" x14ac:dyDescent="0.2">
      <c r="A195" s="95"/>
      <c r="B195" s="95"/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95"/>
      <c r="S195" s="95"/>
      <c r="T195" s="95"/>
    </row>
    <row r="197" spans="1:20" hidden="1" x14ac:dyDescent="0.2"/>
    <row r="198" spans="1:20" hidden="1" x14ac:dyDescent="0.2">
      <c r="B198" t="s">
        <v>4050</v>
      </c>
      <c r="C198" t="s">
        <v>4504</v>
      </c>
      <c r="D198" t="s">
        <v>4629</v>
      </c>
      <c r="E198" t="s">
        <v>4630</v>
      </c>
      <c r="F198" t="s">
        <v>4506</v>
      </c>
      <c r="G198" t="s">
        <v>4507</v>
      </c>
      <c r="H198" t="s">
        <v>4508</v>
      </c>
      <c r="I198" t="s">
        <v>4509</v>
      </c>
      <c r="J198" t="s">
        <v>4510</v>
      </c>
    </row>
    <row r="199" spans="1:20" hidden="1" x14ac:dyDescent="0.2">
      <c r="B199" t="s">
        <v>4513</v>
      </c>
      <c r="F199">
        <v>50</v>
      </c>
      <c r="G199">
        <v>28</v>
      </c>
      <c r="H199">
        <v>5</v>
      </c>
      <c r="I199">
        <v>25</v>
      </c>
    </row>
    <row r="200" spans="1:20" hidden="1" x14ac:dyDescent="0.2">
      <c r="A200" t="s">
        <v>4514</v>
      </c>
      <c r="B200" s="428">
        <v>9.5</v>
      </c>
      <c r="C200" s="428">
        <v>364741.5</v>
      </c>
      <c r="D200" s="428"/>
      <c r="E200" s="428">
        <v>31297.200000000001</v>
      </c>
      <c r="F200" s="428"/>
      <c r="G200" s="428">
        <v>141843.91666666669</v>
      </c>
      <c r="H200" s="428"/>
      <c r="I200" s="428"/>
      <c r="J200" s="428">
        <v>537882.6166666667</v>
      </c>
    </row>
    <row r="201" spans="1:20" hidden="1" x14ac:dyDescent="0.2">
      <c r="A201" t="s">
        <v>4515</v>
      </c>
      <c r="B201" s="428">
        <v>0</v>
      </c>
      <c r="C201" s="428">
        <v>0</v>
      </c>
      <c r="D201" s="428"/>
      <c r="E201" s="428"/>
      <c r="F201" s="428"/>
      <c r="G201" s="428">
        <v>0</v>
      </c>
      <c r="H201" s="428"/>
      <c r="I201" s="428"/>
      <c r="J201" s="428">
        <v>0</v>
      </c>
    </row>
    <row r="202" spans="1:20" hidden="1" x14ac:dyDescent="0.2">
      <c r="A202" t="s">
        <v>4516</v>
      </c>
      <c r="B202" s="428">
        <v>3</v>
      </c>
      <c r="C202" s="428">
        <v>100528</v>
      </c>
      <c r="D202" s="428">
        <v>0</v>
      </c>
      <c r="E202" s="428"/>
      <c r="F202" s="428"/>
      <c r="G202" s="428">
        <v>39094.222222222219</v>
      </c>
      <c r="H202" s="428"/>
      <c r="I202" s="428"/>
      <c r="J202" s="428">
        <v>139622.22222222222</v>
      </c>
    </row>
    <row r="203" spans="1:20" hidden="1" x14ac:dyDescent="0.2">
      <c r="A203" t="s">
        <v>4517</v>
      </c>
      <c r="B203" s="428">
        <v>6</v>
      </c>
      <c r="C203" s="428">
        <v>97805</v>
      </c>
      <c r="D203" s="428">
        <v>0</v>
      </c>
      <c r="E203" s="428"/>
      <c r="F203" s="428"/>
      <c r="G203" s="428">
        <v>38035.277777777781</v>
      </c>
      <c r="H203" s="428"/>
      <c r="I203" s="428"/>
      <c r="J203" s="428">
        <v>135840.27777777778</v>
      </c>
    </row>
    <row r="204" spans="1:20" hidden="1" x14ac:dyDescent="0.2">
      <c r="A204" t="s">
        <v>4467</v>
      </c>
      <c r="B204" s="428">
        <v>7.5</v>
      </c>
      <c r="C204" s="428">
        <v>67288.5</v>
      </c>
      <c r="D204" s="428">
        <v>0</v>
      </c>
      <c r="E204" s="428"/>
      <c r="F204" s="428"/>
      <c r="G204" s="428">
        <v>26167.75</v>
      </c>
      <c r="H204" s="428"/>
      <c r="I204" s="428">
        <v>79043.75</v>
      </c>
      <c r="J204" s="428">
        <v>172500</v>
      </c>
    </row>
    <row r="205" spans="1:20" hidden="1" x14ac:dyDescent="0.2">
      <c r="A205" t="s">
        <v>4518</v>
      </c>
      <c r="B205" s="428">
        <v>26</v>
      </c>
      <c r="C205" s="428">
        <v>630363</v>
      </c>
      <c r="D205" s="428">
        <v>0</v>
      </c>
      <c r="E205" s="428"/>
      <c r="F205" s="428">
        <v>0</v>
      </c>
      <c r="G205" s="428">
        <v>245141.16666666669</v>
      </c>
      <c r="H205" s="428">
        <v>0</v>
      </c>
      <c r="I205" s="428">
        <v>79043.75</v>
      </c>
      <c r="J205" s="428">
        <v>985845.1166666667</v>
      </c>
    </row>
    <row r="206" spans="1:20" hidden="1" x14ac:dyDescent="0.2">
      <c r="A206" t="s">
        <v>4519</v>
      </c>
      <c r="B206" s="428">
        <v>4</v>
      </c>
      <c r="C206" s="428">
        <v>104515.2</v>
      </c>
      <c r="D206" s="428"/>
      <c r="E206" s="428"/>
      <c r="F206" s="428"/>
      <c r="G206" s="428">
        <v>43677.994029850743</v>
      </c>
      <c r="H206" s="428"/>
      <c r="I206" s="428"/>
      <c r="J206" s="428">
        <v>148193.19402985074</v>
      </c>
    </row>
    <row r="207" spans="1:20" hidden="1" x14ac:dyDescent="0.2">
      <c r="A207" t="s">
        <v>4520</v>
      </c>
      <c r="B207" s="428">
        <v>0</v>
      </c>
      <c r="C207" s="428">
        <v>0</v>
      </c>
      <c r="D207" s="428"/>
      <c r="E207" s="428"/>
      <c r="F207" s="428"/>
      <c r="G207" s="428">
        <v>0</v>
      </c>
      <c r="H207" s="428"/>
      <c r="I207" s="428"/>
      <c r="J207" s="428">
        <v>0</v>
      </c>
    </row>
    <row r="208" spans="1:20" hidden="1" x14ac:dyDescent="0.2">
      <c r="A208" t="s">
        <v>4521</v>
      </c>
      <c r="B208" s="428">
        <v>70.46875</v>
      </c>
      <c r="C208" s="428">
        <v>2450973.59</v>
      </c>
      <c r="D208" s="428"/>
      <c r="E208" s="428">
        <v>195000</v>
      </c>
      <c r="F208" s="428"/>
      <c r="G208" s="428">
        <v>953156.39611111116</v>
      </c>
      <c r="H208" s="428"/>
      <c r="I208" s="428"/>
      <c r="J208" s="428">
        <v>3599129.986111111</v>
      </c>
      <c r="K208">
        <f>E208/B208</f>
        <v>2767.1840354767182</v>
      </c>
    </row>
    <row r="209" spans="1:10" hidden="1" x14ac:dyDescent="0.2">
      <c r="A209" t="s">
        <v>4522</v>
      </c>
      <c r="B209" s="428">
        <v>9.0625</v>
      </c>
      <c r="C209" s="428">
        <v>315202.81</v>
      </c>
      <c r="D209" s="428"/>
      <c r="E209" s="428"/>
      <c r="F209" s="428"/>
      <c r="G209" s="428">
        <v>122578.87055555555</v>
      </c>
      <c r="H209" s="428"/>
      <c r="I209" s="428"/>
      <c r="J209" s="428">
        <v>437781.68055555556</v>
      </c>
    </row>
    <row r="210" spans="1:10" hidden="1" x14ac:dyDescent="0.2">
      <c r="A210" t="s">
        <v>4523</v>
      </c>
      <c r="B210" s="428">
        <v>61.40625</v>
      </c>
      <c r="C210" s="428">
        <v>2135770.7800000003</v>
      </c>
      <c r="D210" s="428"/>
      <c r="E210" s="428"/>
      <c r="F210" s="428"/>
      <c r="G210" s="428">
        <v>830577.52555555571</v>
      </c>
      <c r="H210" s="428"/>
      <c r="I210" s="428"/>
      <c r="J210" s="428">
        <v>2966348.305555556</v>
      </c>
    </row>
    <row r="211" spans="1:10" hidden="1" x14ac:dyDescent="0.2">
      <c r="A211" t="s">
        <v>4524</v>
      </c>
      <c r="B211" s="428"/>
      <c r="C211" s="428"/>
      <c r="D211" s="428"/>
      <c r="E211" s="428"/>
      <c r="F211" s="428"/>
      <c r="G211" s="428"/>
      <c r="H211" s="428"/>
      <c r="I211" s="428"/>
      <c r="J211" s="428"/>
    </row>
    <row r="212" spans="1:10" hidden="1" x14ac:dyDescent="0.2">
      <c r="A212" t="s">
        <v>4525</v>
      </c>
      <c r="B212" s="428">
        <v>74.46875</v>
      </c>
      <c r="C212" s="428">
        <v>2555488.79</v>
      </c>
      <c r="D212" s="428">
        <v>0</v>
      </c>
      <c r="E212" s="428">
        <v>195000</v>
      </c>
      <c r="F212" s="428">
        <v>0</v>
      </c>
      <c r="G212" s="428">
        <v>996834.39014096186</v>
      </c>
      <c r="H212" s="428">
        <v>0</v>
      </c>
      <c r="I212" s="428">
        <v>0</v>
      </c>
      <c r="J212" s="428">
        <v>3747323.1801409619</v>
      </c>
    </row>
    <row r="213" spans="1:10" hidden="1" x14ac:dyDescent="0.2">
      <c r="A213" t="s">
        <v>4526</v>
      </c>
      <c r="B213" s="428">
        <v>100.46875</v>
      </c>
      <c r="C213" s="428">
        <v>3185851.79</v>
      </c>
      <c r="D213" s="428">
        <v>0</v>
      </c>
      <c r="E213" s="428">
        <v>195000</v>
      </c>
      <c r="F213" s="428">
        <v>0</v>
      </c>
      <c r="G213" s="428">
        <v>1241975.5568076286</v>
      </c>
      <c r="H213" s="428">
        <v>0</v>
      </c>
      <c r="I213" s="428">
        <v>79043.75</v>
      </c>
      <c r="J213" s="428">
        <v>4733168.2968076281</v>
      </c>
    </row>
    <row r="214" spans="1:10" hidden="1" x14ac:dyDescent="0.2">
      <c r="B214" s="428"/>
      <c r="C214" s="428"/>
      <c r="D214" s="428"/>
      <c r="E214" s="428"/>
      <c r="F214" s="428"/>
      <c r="G214" s="428"/>
      <c r="H214" s="428"/>
      <c r="I214" s="428"/>
      <c r="J214" s="428"/>
    </row>
    <row r="215" spans="1:10" hidden="1" x14ac:dyDescent="0.2">
      <c r="C215" s="381">
        <f>M187</f>
        <v>3098328.59375</v>
      </c>
      <c r="E215" s="381">
        <f>O187+N187</f>
        <v>220797.2</v>
      </c>
      <c r="G215" s="381">
        <f>P187</f>
        <v>1327855.111607143</v>
      </c>
      <c r="I215" s="381">
        <f>Q187</f>
        <v>84332.14285714287</v>
      </c>
      <c r="J215" s="381">
        <f>SUM(C215:I215)</f>
        <v>4731313.0482142856</v>
      </c>
    </row>
    <row r="216" spans="1:10" hidden="1" x14ac:dyDescent="0.2">
      <c r="C216" s="642">
        <f>C215-C213</f>
        <v>-87523.196250000037</v>
      </c>
      <c r="D216" s="642">
        <f t="shared" ref="D216:J216" si="32">D215-D213</f>
        <v>0</v>
      </c>
      <c r="E216" s="642">
        <f t="shared" si="32"/>
        <v>25797.200000000012</v>
      </c>
      <c r="F216" s="642">
        <f t="shared" si="32"/>
        <v>0</v>
      </c>
      <c r="G216" s="642">
        <f t="shared" si="32"/>
        <v>85879.554799514357</v>
      </c>
      <c r="H216" s="642">
        <f t="shared" si="32"/>
        <v>0</v>
      </c>
      <c r="I216" s="642">
        <f t="shared" si="32"/>
        <v>5288.3928571428696</v>
      </c>
      <c r="J216" s="642">
        <f t="shared" si="32"/>
        <v>-1855.2485933424905</v>
      </c>
    </row>
    <row r="217" spans="1:10" hidden="1" x14ac:dyDescent="0.2"/>
    <row r="218" spans="1:10" hidden="1" x14ac:dyDescent="0.2"/>
  </sheetData>
  <autoFilter ref="A9:W45"/>
  <mergeCells count="6">
    <mergeCell ref="A190:B191"/>
    <mergeCell ref="A193:B193"/>
    <mergeCell ref="A194:B194"/>
    <mergeCell ref="A192:B192"/>
    <mergeCell ref="Q1:S1"/>
    <mergeCell ref="Q2:S2"/>
  </mergeCells>
  <pageMargins left="0.70866141732283472" right="0.15748031496062992" top="0.74803149606299213" bottom="0.74803149606299213" header="0.31496062992125984" footer="0.31496062992125984"/>
  <pageSetup paperSize="9" scale="55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18"/>
  <sheetViews>
    <sheetView workbookViewId="0">
      <selection activeCell="F1" sqref="F1:H1"/>
    </sheetView>
  </sheetViews>
  <sheetFormatPr defaultRowHeight="12.75" x14ac:dyDescent="0.2"/>
  <cols>
    <col min="1" max="1" width="4.140625" bestFit="1" customWidth="1"/>
    <col min="2" max="2" width="35.5703125" customWidth="1"/>
    <col min="3" max="3" width="8.42578125" bestFit="1" customWidth="1"/>
    <col min="4" max="4" width="7.140625" bestFit="1" customWidth="1"/>
    <col min="5" max="5" width="11" style="95" bestFit="1" customWidth="1"/>
    <col min="6" max="6" width="12" bestFit="1" customWidth="1"/>
    <col min="7" max="7" width="12.5703125" bestFit="1" customWidth="1"/>
    <col min="8" max="8" width="13.5703125" bestFit="1" customWidth="1"/>
    <col min="10" max="10" width="17" customWidth="1"/>
  </cols>
  <sheetData>
    <row r="1" spans="1:9" s="24" customFormat="1" ht="15" x14ac:dyDescent="0.2">
      <c r="D1" s="331"/>
      <c r="E1" s="331"/>
      <c r="F1" s="801" t="s">
        <v>4598</v>
      </c>
      <c r="G1" s="801"/>
      <c r="H1" s="801"/>
    </row>
    <row r="2" spans="1:9" s="24" customFormat="1" ht="15" x14ac:dyDescent="0.2">
      <c r="D2" s="331"/>
      <c r="E2" s="331"/>
      <c r="F2" s="801" t="s">
        <v>4586</v>
      </c>
      <c r="G2" s="801"/>
      <c r="H2" s="801"/>
      <c r="I2" s="801"/>
    </row>
    <row r="3" spans="1:9" s="24" customFormat="1" ht="15" x14ac:dyDescent="0.2">
      <c r="E3" s="297"/>
    </row>
    <row r="4" spans="1:9" s="24" customFormat="1" ht="15" x14ac:dyDescent="0.2">
      <c r="E4" s="297"/>
    </row>
    <row r="5" spans="1:9" s="24" customFormat="1" ht="15" x14ac:dyDescent="0.2">
      <c r="E5" s="297"/>
    </row>
    <row r="6" spans="1:9" ht="15.75" x14ac:dyDescent="0.25">
      <c r="A6" s="10"/>
      <c r="B6" s="10"/>
    </row>
    <row r="7" spans="1:9" ht="40.5" customHeight="1" x14ac:dyDescent="0.2">
      <c r="A7" s="11"/>
      <c r="B7" s="823" t="s">
        <v>4060</v>
      </c>
      <c r="C7" s="823"/>
      <c r="D7" s="823"/>
      <c r="E7" s="823"/>
      <c r="F7" s="823"/>
      <c r="G7" s="823"/>
    </row>
    <row r="8" spans="1:9" x14ac:dyDescent="0.2">
      <c r="A8" s="12"/>
      <c r="B8" s="12"/>
    </row>
    <row r="9" spans="1:9" s="23" customFormat="1" ht="17.25" customHeight="1" x14ac:dyDescent="0.2">
      <c r="A9" s="21"/>
      <c r="E9" s="332"/>
    </row>
    <row r="10" spans="1:9" s="23" customFormat="1" ht="46.5" customHeight="1" x14ac:dyDescent="0.2">
      <c r="A10" s="223" t="s">
        <v>4047</v>
      </c>
      <c r="B10" s="224" t="s">
        <v>4048</v>
      </c>
      <c r="C10" s="224" t="s">
        <v>4049</v>
      </c>
      <c r="D10" s="224" t="s">
        <v>4050</v>
      </c>
      <c r="E10" s="291" t="s">
        <v>4369</v>
      </c>
      <c r="F10" s="291" t="s">
        <v>4580</v>
      </c>
      <c r="G10" s="291" t="s">
        <v>4360</v>
      </c>
      <c r="H10" s="224" t="s">
        <v>4051</v>
      </c>
    </row>
    <row r="11" spans="1:9" s="23" customFormat="1" ht="15" x14ac:dyDescent="0.2">
      <c r="A11" s="224">
        <v>1</v>
      </c>
      <c r="B11" s="224">
        <v>2</v>
      </c>
      <c r="C11" s="224">
        <v>3</v>
      </c>
      <c r="D11" s="224">
        <v>4</v>
      </c>
      <c r="E11" s="333">
        <v>5</v>
      </c>
      <c r="F11" s="224">
        <v>6</v>
      </c>
      <c r="G11" s="224">
        <v>7</v>
      </c>
      <c r="H11" s="224">
        <v>8</v>
      </c>
    </row>
    <row r="12" spans="1:9" s="23" customFormat="1" ht="64.5" customHeight="1" x14ac:dyDescent="0.2">
      <c r="A12" s="224" t="s">
        <v>4052</v>
      </c>
      <c r="B12" s="225" t="s">
        <v>4053</v>
      </c>
      <c r="C12" s="224" t="s">
        <v>4054</v>
      </c>
      <c r="D12" s="224">
        <v>40</v>
      </c>
      <c r="E12" s="584">
        <f>'архивац. доу(226)'!E11</f>
        <v>101</v>
      </c>
      <c r="F12" s="224">
        <v>1.05</v>
      </c>
      <c r="G12" s="226">
        <f>E12*F12</f>
        <v>106.05000000000001</v>
      </c>
      <c r="H12" s="226">
        <f>D12*G12</f>
        <v>4242</v>
      </c>
    </row>
    <row r="13" spans="1:9" s="23" customFormat="1" ht="94.5" customHeight="1" x14ac:dyDescent="0.2">
      <c r="A13" s="224" t="s">
        <v>4055</v>
      </c>
      <c r="B13" s="225" t="s">
        <v>4056</v>
      </c>
      <c r="C13" s="224" t="s">
        <v>4054</v>
      </c>
      <c r="D13" s="224">
        <v>40</v>
      </c>
      <c r="E13" s="584">
        <f>'архивац. доу(226)'!E12</f>
        <v>820</v>
      </c>
      <c r="F13" s="224">
        <v>1.05</v>
      </c>
      <c r="G13" s="226">
        <f>E13*F13</f>
        <v>861</v>
      </c>
      <c r="H13" s="226">
        <f t="shared" ref="H13" si="0">D13*G13</f>
        <v>34440</v>
      </c>
    </row>
    <row r="14" spans="1:9" s="23" customFormat="1" ht="15" hidden="1" x14ac:dyDescent="0.2">
      <c r="A14" s="224" t="s">
        <v>4057</v>
      </c>
      <c r="B14" s="225" t="s">
        <v>4058</v>
      </c>
      <c r="C14" s="224" t="s">
        <v>4054</v>
      </c>
      <c r="D14" s="224">
        <v>40</v>
      </c>
      <c r="E14" s="333"/>
      <c r="F14" s="224">
        <v>1</v>
      </c>
      <c r="G14" s="329">
        <f>E14*F14</f>
        <v>0</v>
      </c>
      <c r="H14" s="226">
        <f>D14*G14</f>
        <v>0</v>
      </c>
    </row>
    <row r="15" spans="1:9" x14ac:dyDescent="0.2">
      <c r="A15" s="851" t="s">
        <v>4059</v>
      </c>
      <c r="B15" s="851"/>
      <c r="C15" s="851"/>
      <c r="D15" s="851"/>
      <c r="E15" s="851"/>
      <c r="F15" s="851"/>
      <c r="G15" s="851"/>
      <c r="H15" s="229"/>
    </row>
    <row r="18" spans="2:6" ht="15" hidden="1" x14ac:dyDescent="0.2">
      <c r="B18" s="791" t="s">
        <v>3847</v>
      </c>
      <c r="C18" s="791"/>
      <c r="D18" s="791"/>
      <c r="E18" s="305"/>
      <c r="F18" s="249"/>
    </row>
  </sheetData>
  <mergeCells count="5">
    <mergeCell ref="B7:G7"/>
    <mergeCell ref="B18:D18"/>
    <mergeCell ref="F1:H1"/>
    <mergeCell ref="F2:I2"/>
    <mergeCell ref="A15:G15"/>
  </mergeCells>
  <pageMargins left="0.15748031496062992" right="0.11811023622047245" top="0.74803149606299213" bottom="0.74803149606299213" header="0.31496062992125984" footer="0.31496062992125984"/>
  <pageSetup paperSize="9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23"/>
  <sheetViews>
    <sheetView workbookViewId="0">
      <selection activeCell="G11" sqref="G11"/>
    </sheetView>
  </sheetViews>
  <sheetFormatPr defaultRowHeight="12.75" x14ac:dyDescent="0.2"/>
  <cols>
    <col min="1" max="1" width="3.7109375" customWidth="1"/>
    <col min="2" max="2" width="34.5703125" bestFit="1" customWidth="1"/>
    <col min="3" max="3" width="15.7109375" bestFit="1" customWidth="1"/>
    <col min="4" max="4" width="12.42578125" bestFit="1" customWidth="1"/>
    <col min="5" max="5" width="7.140625" bestFit="1" customWidth="1"/>
    <col min="6" max="6" width="11.140625" bestFit="1" customWidth="1"/>
    <col min="7" max="7" width="19" customWidth="1"/>
    <col min="9" max="9" width="11.85546875" customWidth="1"/>
  </cols>
  <sheetData>
    <row r="1" spans="1:8" s="24" customFormat="1" ht="15" x14ac:dyDescent="0.2">
      <c r="E1" s="801" t="s">
        <v>4598</v>
      </c>
      <c r="F1" s="801"/>
      <c r="G1" s="801"/>
    </row>
    <row r="2" spans="1:8" s="24" customFormat="1" ht="15" x14ac:dyDescent="0.2">
      <c r="E2" s="801" t="s">
        <v>4586</v>
      </c>
      <c r="F2" s="801"/>
      <c r="G2" s="801"/>
      <c r="H2" s="801"/>
    </row>
    <row r="3" spans="1:8" s="24" customFormat="1" ht="15" x14ac:dyDescent="0.2"/>
    <row r="4" spans="1:8" s="24" customFormat="1" ht="15" x14ac:dyDescent="0.2"/>
    <row r="5" spans="1:8" s="24" customFormat="1" ht="15" x14ac:dyDescent="0.2"/>
    <row r="6" spans="1:8" ht="15.75" x14ac:dyDescent="0.25">
      <c r="A6" s="10"/>
      <c r="B6" s="10"/>
    </row>
    <row r="7" spans="1:8" ht="36" customHeight="1" x14ac:dyDescent="0.2">
      <c r="A7" s="11"/>
      <c r="B7" s="823" t="s">
        <v>4089</v>
      </c>
      <c r="C7" s="823"/>
      <c r="D7" s="823"/>
      <c r="E7" s="823"/>
      <c r="F7" s="823"/>
      <c r="G7" s="823"/>
    </row>
    <row r="8" spans="1:8" x14ac:dyDescent="0.2">
      <c r="A8" s="12"/>
      <c r="B8" s="12"/>
    </row>
    <row r="9" spans="1:8" s="53" customFormat="1" ht="31.15" customHeight="1" x14ac:dyDescent="0.2">
      <c r="A9" s="51" t="s">
        <v>122</v>
      </c>
      <c r="B9" s="51" t="s">
        <v>4037</v>
      </c>
      <c r="C9" s="207" t="s">
        <v>3901</v>
      </c>
      <c r="D9" s="291" t="s">
        <v>4369</v>
      </c>
      <c r="E9" s="291" t="s">
        <v>4580</v>
      </c>
      <c r="F9" s="291" t="s">
        <v>4360</v>
      </c>
      <c r="G9" s="208" t="s">
        <v>3967</v>
      </c>
    </row>
    <row r="10" spans="1:8" s="56" customFormat="1" ht="11.25" x14ac:dyDescent="0.2">
      <c r="A10" s="54">
        <v>1</v>
      </c>
      <c r="B10" s="55">
        <v>2</v>
      </c>
      <c r="C10" s="54">
        <v>3</v>
      </c>
      <c r="D10" s="55">
        <v>4</v>
      </c>
      <c r="E10" s="54">
        <v>5</v>
      </c>
      <c r="F10" s="55">
        <v>6</v>
      </c>
      <c r="G10" s="54">
        <v>7</v>
      </c>
    </row>
    <row r="11" spans="1:8" s="59" customFormat="1" ht="33.75" customHeight="1" x14ac:dyDescent="0.2">
      <c r="A11" s="57">
        <v>1</v>
      </c>
      <c r="B11" s="213" t="s">
        <v>4160</v>
      </c>
      <c r="C11" s="60">
        <v>1</v>
      </c>
      <c r="D11" s="577">
        <v>3100</v>
      </c>
      <c r="E11" s="205">
        <v>1</v>
      </c>
      <c r="F11" s="205">
        <f>D11*E11</f>
        <v>3100</v>
      </c>
      <c r="G11" s="205"/>
    </row>
    <row r="12" spans="1:8" x14ac:dyDescent="0.2">
      <c r="A12" s="38"/>
      <c r="B12" s="38"/>
      <c r="C12" s="38"/>
      <c r="D12" s="38"/>
      <c r="E12" s="38"/>
      <c r="G12" s="59"/>
    </row>
    <row r="13" spans="1:8" ht="15" hidden="1" x14ac:dyDescent="0.2">
      <c r="B13" s="791" t="s">
        <v>3847</v>
      </c>
      <c r="C13" s="791"/>
      <c r="D13" s="791"/>
      <c r="E13" s="791"/>
      <c r="F13" s="791"/>
    </row>
    <row r="14" spans="1:8" s="23" customFormat="1" ht="17.25" customHeight="1" x14ac:dyDescent="0.2">
      <c r="A14" s="21"/>
    </row>
    <row r="15" spans="1:8" s="23" customFormat="1" ht="18" customHeight="1" x14ac:dyDescent="0.2">
      <c r="A15" s="42"/>
      <c r="B15" s="25"/>
    </row>
    <row r="16" spans="1:8" s="23" customFormat="1" ht="15" x14ac:dyDescent="0.2">
      <c r="A16" s="42"/>
      <c r="B16" s="206"/>
    </row>
    <row r="17" spans="1:2" s="23" customFormat="1" ht="15" x14ac:dyDescent="0.2">
      <c r="A17" s="42"/>
      <c r="B17" s="206"/>
    </row>
    <row r="18" spans="1:2" s="23" customFormat="1" ht="15" x14ac:dyDescent="0.2">
      <c r="A18" s="206"/>
    </row>
    <row r="19" spans="1:2" s="23" customFormat="1" ht="15" x14ac:dyDescent="0.2">
      <c r="A19" s="792"/>
      <c r="B19" s="793"/>
    </row>
    <row r="20" spans="1:2" s="23" customFormat="1" ht="15" customHeight="1" x14ac:dyDescent="0.2">
      <c r="A20" s="788"/>
      <c r="B20" s="788"/>
    </row>
    <row r="21" spans="1:2" s="23" customFormat="1" ht="15" x14ac:dyDescent="0.2">
      <c r="A21" s="788"/>
      <c r="B21" s="788"/>
    </row>
    <row r="22" spans="1:2" s="23" customFormat="1" ht="15" x14ac:dyDescent="0.2">
      <c r="A22" s="788"/>
      <c r="B22" s="788"/>
    </row>
    <row r="23" spans="1:2" s="23" customFormat="1" ht="15" x14ac:dyDescent="0.2">
      <c r="A23" s="206"/>
      <c r="B23" s="206"/>
    </row>
  </sheetData>
  <mergeCells count="8">
    <mergeCell ref="E1:G1"/>
    <mergeCell ref="A22:B22"/>
    <mergeCell ref="B7:G7"/>
    <mergeCell ref="B13:F13"/>
    <mergeCell ref="A19:B19"/>
    <mergeCell ref="A20:B20"/>
    <mergeCell ref="A21:B21"/>
    <mergeCell ref="E2:H2"/>
  </mergeCells>
  <pageMargins left="0.70866141732283472" right="0.28000000000000003" top="0.74803149606299213" bottom="0.74803149606299213" header="0.31496062992125984" footer="0.31496062992125984"/>
  <pageSetup paperSize="9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30"/>
  <sheetViews>
    <sheetView workbookViewId="0">
      <selection activeCell="E1" sqref="E1:G1"/>
    </sheetView>
  </sheetViews>
  <sheetFormatPr defaultRowHeight="12.75" x14ac:dyDescent="0.2"/>
  <cols>
    <col min="1" max="1" width="3.7109375" customWidth="1"/>
    <col min="2" max="2" width="34.7109375" customWidth="1"/>
    <col min="3" max="3" width="13.28515625" bestFit="1" customWidth="1"/>
    <col min="4" max="4" width="11.28515625" bestFit="1" customWidth="1"/>
    <col min="5" max="5" width="11.7109375" bestFit="1" customWidth="1"/>
    <col min="6" max="6" width="11.140625" bestFit="1" customWidth="1"/>
    <col min="7" max="7" width="18.42578125" bestFit="1" customWidth="1"/>
    <col min="9" max="9" width="12.85546875" customWidth="1"/>
  </cols>
  <sheetData>
    <row r="1" spans="1:8" s="24" customFormat="1" ht="15" x14ac:dyDescent="0.2">
      <c r="E1" s="801" t="s">
        <v>4718</v>
      </c>
      <c r="F1" s="801"/>
      <c r="G1" s="801"/>
    </row>
    <row r="2" spans="1:8" s="24" customFormat="1" ht="15" x14ac:dyDescent="0.2">
      <c r="E2" s="801" t="s">
        <v>4586</v>
      </c>
      <c r="F2" s="801"/>
      <c r="G2" s="801"/>
      <c r="H2" s="801"/>
    </row>
    <row r="3" spans="1:8" s="24" customFormat="1" ht="15" x14ac:dyDescent="0.2"/>
    <row r="4" spans="1:8" s="24" customFormat="1" ht="15" x14ac:dyDescent="0.2"/>
    <row r="5" spans="1:8" s="24" customFormat="1" ht="15" x14ac:dyDescent="0.2"/>
    <row r="6" spans="1:8" ht="15.75" x14ac:dyDescent="0.25">
      <c r="A6" s="10"/>
      <c r="B6" s="10"/>
    </row>
    <row r="7" spans="1:8" ht="48" customHeight="1" x14ac:dyDescent="0.2">
      <c r="A7" s="11"/>
      <c r="B7" s="823" t="s">
        <v>4088</v>
      </c>
      <c r="C7" s="823"/>
      <c r="D7" s="823"/>
      <c r="E7" s="823"/>
      <c r="F7" s="823"/>
      <c r="G7" s="823"/>
    </row>
    <row r="8" spans="1:8" x14ac:dyDescent="0.2">
      <c r="A8" s="12"/>
      <c r="B8" s="12"/>
    </row>
    <row r="9" spans="1:8" s="53" customFormat="1" ht="31.15" customHeight="1" x14ac:dyDescent="0.2">
      <c r="A9" s="51" t="s">
        <v>122</v>
      </c>
      <c r="B9" s="51" t="s">
        <v>4038</v>
      </c>
      <c r="C9" s="207" t="s">
        <v>4039</v>
      </c>
      <c r="D9" s="291" t="s">
        <v>4369</v>
      </c>
      <c r="E9" s="291" t="s">
        <v>4580</v>
      </c>
      <c r="F9" s="291" t="s">
        <v>4360</v>
      </c>
      <c r="G9" s="208" t="s">
        <v>3967</v>
      </c>
    </row>
    <row r="10" spans="1:8" s="56" customFormat="1" ht="11.25" x14ac:dyDescent="0.2">
      <c r="A10" s="54">
        <v>1</v>
      </c>
      <c r="B10" s="55">
        <v>2</v>
      </c>
      <c r="C10" s="54">
        <v>3</v>
      </c>
      <c r="D10" s="55">
        <v>4</v>
      </c>
      <c r="E10" s="54">
        <v>5</v>
      </c>
      <c r="F10" s="55">
        <v>6</v>
      </c>
      <c r="G10" s="54">
        <v>7</v>
      </c>
    </row>
    <row r="11" spans="1:8" s="59" customFormat="1" ht="25.5" x14ac:dyDescent="0.2">
      <c r="A11" s="57">
        <v>1</v>
      </c>
      <c r="B11" s="778" t="s">
        <v>4040</v>
      </c>
      <c r="C11" s="60">
        <v>1</v>
      </c>
      <c r="D11" s="577">
        <v>1500</v>
      </c>
      <c r="E11" s="240">
        <v>1</v>
      </c>
      <c r="F11" s="240">
        <f t="shared" ref="F11:F17" si="0">D11*E11</f>
        <v>1500</v>
      </c>
      <c r="G11" s="240">
        <f>C11*F11</f>
        <v>1500</v>
      </c>
    </row>
    <row r="12" spans="1:8" s="59" customFormat="1" x14ac:dyDescent="0.2">
      <c r="A12" s="57">
        <v>2</v>
      </c>
      <c r="B12" s="778" t="s">
        <v>4041</v>
      </c>
      <c r="C12" s="60">
        <v>1</v>
      </c>
      <c r="D12" s="577">
        <v>700</v>
      </c>
      <c r="E12" s="240">
        <v>1</v>
      </c>
      <c r="F12" s="240">
        <f t="shared" si="0"/>
        <v>700</v>
      </c>
      <c r="G12" s="240">
        <f t="shared" ref="G12:G17" si="1">C12*F12</f>
        <v>700</v>
      </c>
    </row>
    <row r="13" spans="1:8" s="59" customFormat="1" ht="25.5" x14ac:dyDescent="0.2">
      <c r="A13" s="57">
        <v>3</v>
      </c>
      <c r="B13" s="778" t="s">
        <v>4042</v>
      </c>
      <c r="C13" s="60">
        <v>1</v>
      </c>
      <c r="D13" s="577">
        <v>750</v>
      </c>
      <c r="E13" s="240">
        <v>1</v>
      </c>
      <c r="F13" s="240">
        <f t="shared" si="0"/>
        <v>750</v>
      </c>
      <c r="G13" s="240">
        <f t="shared" si="1"/>
        <v>750</v>
      </c>
    </row>
    <row r="14" spans="1:8" s="59" customFormat="1" ht="25.5" x14ac:dyDescent="0.2">
      <c r="A14" s="57">
        <v>4</v>
      </c>
      <c r="B14" s="361" t="s">
        <v>4043</v>
      </c>
      <c r="C14" s="60">
        <v>1</v>
      </c>
      <c r="D14" s="577">
        <v>750</v>
      </c>
      <c r="E14" s="240">
        <v>1</v>
      </c>
      <c r="F14" s="240">
        <f t="shared" si="0"/>
        <v>750</v>
      </c>
      <c r="G14" s="240">
        <f t="shared" si="1"/>
        <v>750</v>
      </c>
    </row>
    <row r="15" spans="1:8" s="59" customFormat="1" ht="25.5" x14ac:dyDescent="0.2">
      <c r="A15" s="57">
        <v>5</v>
      </c>
      <c r="B15" s="778" t="s">
        <v>4044</v>
      </c>
      <c r="C15" s="60">
        <v>1</v>
      </c>
      <c r="D15" s="577">
        <v>2500</v>
      </c>
      <c r="E15" s="240">
        <v>1</v>
      </c>
      <c r="F15" s="240">
        <f t="shared" si="0"/>
        <v>2500</v>
      </c>
      <c r="G15" s="240">
        <f t="shared" si="1"/>
        <v>2500</v>
      </c>
    </row>
    <row r="16" spans="1:8" s="59" customFormat="1" x14ac:dyDescent="0.2">
      <c r="A16" s="57">
        <v>6</v>
      </c>
      <c r="B16" s="361" t="s">
        <v>4109</v>
      </c>
      <c r="C16" s="60">
        <v>1</v>
      </c>
      <c r="D16" s="577">
        <v>700</v>
      </c>
      <c r="E16" s="240">
        <v>1</v>
      </c>
      <c r="F16" s="240">
        <f t="shared" si="0"/>
        <v>700</v>
      </c>
      <c r="G16" s="240">
        <f t="shared" si="1"/>
        <v>700</v>
      </c>
    </row>
    <row r="17" spans="1:7" s="59" customFormat="1" ht="39" customHeight="1" x14ac:dyDescent="0.2">
      <c r="A17" s="57">
        <v>7</v>
      </c>
      <c r="B17" s="778" t="s">
        <v>4110</v>
      </c>
      <c r="C17" s="60">
        <v>1</v>
      </c>
      <c r="D17" s="577">
        <v>10000</v>
      </c>
      <c r="E17" s="240">
        <v>1</v>
      </c>
      <c r="F17" s="240">
        <f t="shared" si="0"/>
        <v>10000</v>
      </c>
      <c r="G17" s="240">
        <f t="shared" si="1"/>
        <v>10000</v>
      </c>
    </row>
    <row r="18" spans="1:7" s="59" customFormat="1" ht="20.25" customHeight="1" x14ac:dyDescent="0.2">
      <c r="A18" s="214"/>
      <c r="B18" s="215"/>
      <c r="C18" s="216"/>
      <c r="D18" s="216"/>
      <c r="E18" s="216"/>
      <c r="F18" s="217" t="s">
        <v>3825</v>
      </c>
      <c r="G18" s="218">
        <f>SUM(G11:G17)</f>
        <v>16900</v>
      </c>
    </row>
    <row r="19" spans="1:7" x14ac:dyDescent="0.2">
      <c r="A19" s="38"/>
      <c r="B19" s="38"/>
      <c r="C19" s="38"/>
      <c r="D19" s="38"/>
      <c r="E19" s="38"/>
      <c r="G19" s="59"/>
    </row>
    <row r="20" spans="1:7" ht="15" hidden="1" x14ac:dyDescent="0.2">
      <c r="B20" s="791" t="s">
        <v>3847</v>
      </c>
      <c r="C20" s="791"/>
      <c r="D20" s="791"/>
      <c r="E20" s="791"/>
      <c r="F20" s="791"/>
    </row>
    <row r="21" spans="1:7" s="23" customFormat="1" ht="17.25" customHeight="1" x14ac:dyDescent="0.2">
      <c r="A21" s="21"/>
    </row>
    <row r="22" spans="1:7" s="23" customFormat="1" ht="18" customHeight="1" x14ac:dyDescent="0.2">
      <c r="A22" s="42"/>
      <c r="B22" s="25"/>
    </row>
    <row r="23" spans="1:7" s="23" customFormat="1" ht="15" x14ac:dyDescent="0.2">
      <c r="A23" s="42"/>
      <c r="B23" s="206"/>
    </row>
    <row r="24" spans="1:7" s="23" customFormat="1" ht="15" x14ac:dyDescent="0.2">
      <c r="A24" s="42"/>
      <c r="B24" s="206"/>
    </row>
    <row r="25" spans="1:7" s="23" customFormat="1" ht="15" x14ac:dyDescent="0.2">
      <c r="A25" s="206"/>
    </row>
    <row r="26" spans="1:7" s="23" customFormat="1" ht="15" x14ac:dyDescent="0.2">
      <c r="A26" s="792"/>
      <c r="B26" s="793"/>
    </row>
    <row r="27" spans="1:7" s="23" customFormat="1" ht="15" customHeight="1" x14ac:dyDescent="0.2">
      <c r="A27" s="788"/>
      <c r="B27" s="788"/>
    </row>
    <row r="28" spans="1:7" s="23" customFormat="1" ht="15" x14ac:dyDescent="0.2">
      <c r="A28" s="788"/>
      <c r="B28" s="788"/>
    </row>
    <row r="29" spans="1:7" s="23" customFormat="1" ht="15" x14ac:dyDescent="0.2">
      <c r="A29" s="788"/>
      <c r="B29" s="788"/>
    </row>
    <row r="30" spans="1:7" s="23" customFormat="1" ht="15" x14ac:dyDescent="0.2">
      <c r="A30" s="206"/>
      <c r="B30" s="206"/>
    </row>
  </sheetData>
  <mergeCells count="8">
    <mergeCell ref="E1:G1"/>
    <mergeCell ref="A29:B29"/>
    <mergeCell ref="B7:G7"/>
    <mergeCell ref="B20:F20"/>
    <mergeCell ref="A26:B26"/>
    <mergeCell ref="A27:B27"/>
    <mergeCell ref="A28:B28"/>
    <mergeCell ref="E2:H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23"/>
  <sheetViews>
    <sheetView workbookViewId="0">
      <selection activeCell="G11" sqref="G11"/>
    </sheetView>
  </sheetViews>
  <sheetFormatPr defaultRowHeight="12.75" x14ac:dyDescent="0.2"/>
  <cols>
    <col min="1" max="1" width="3.5703125" bestFit="1" customWidth="1"/>
    <col min="2" max="2" width="32.7109375" bestFit="1" customWidth="1"/>
    <col min="3" max="3" width="15.7109375" bestFit="1" customWidth="1"/>
    <col min="4" max="4" width="11.28515625" bestFit="1" customWidth="1"/>
    <col min="5" max="5" width="11.7109375" bestFit="1" customWidth="1"/>
    <col min="6" max="6" width="11.140625" bestFit="1" customWidth="1"/>
    <col min="7" max="7" width="18.42578125" bestFit="1" customWidth="1"/>
    <col min="9" max="9" width="11.42578125" customWidth="1"/>
  </cols>
  <sheetData>
    <row r="1" spans="1:8" s="24" customFormat="1" ht="15" x14ac:dyDescent="0.2">
      <c r="E1" s="801" t="s">
        <v>4665</v>
      </c>
      <c r="F1" s="801"/>
      <c r="G1" s="801"/>
    </row>
    <row r="2" spans="1:8" s="24" customFormat="1" ht="15" x14ac:dyDescent="0.2">
      <c r="E2" s="801" t="s">
        <v>4586</v>
      </c>
      <c r="F2" s="801"/>
      <c r="G2" s="801"/>
      <c r="H2" s="801"/>
    </row>
    <row r="3" spans="1:8" s="24" customFormat="1" ht="15" x14ac:dyDescent="0.2"/>
    <row r="4" spans="1:8" s="24" customFormat="1" ht="15" x14ac:dyDescent="0.2"/>
    <row r="5" spans="1:8" s="24" customFormat="1" ht="15" x14ac:dyDescent="0.2"/>
    <row r="6" spans="1:8" ht="15.75" x14ac:dyDescent="0.25">
      <c r="A6" s="10"/>
      <c r="B6" s="10"/>
    </row>
    <row r="7" spans="1:8" ht="33.75" customHeight="1" x14ac:dyDescent="0.2">
      <c r="A7" s="11"/>
      <c r="B7" s="823" t="s">
        <v>4087</v>
      </c>
      <c r="C7" s="823"/>
      <c r="D7" s="823"/>
      <c r="E7" s="823"/>
      <c r="F7" s="823"/>
      <c r="G7" s="823"/>
    </row>
    <row r="8" spans="1:8" x14ac:dyDescent="0.2">
      <c r="A8" s="12"/>
      <c r="B8" s="12"/>
    </row>
    <row r="9" spans="1:8" s="53" customFormat="1" ht="31.15" customHeight="1" x14ac:dyDescent="0.2">
      <c r="A9" s="51" t="s">
        <v>122</v>
      </c>
      <c r="B9" s="51" t="s">
        <v>4037</v>
      </c>
      <c r="C9" s="207" t="s">
        <v>3901</v>
      </c>
      <c r="D9" s="291" t="s">
        <v>4369</v>
      </c>
      <c r="E9" s="291" t="s">
        <v>4580</v>
      </c>
      <c r="F9" s="291" t="s">
        <v>4360</v>
      </c>
      <c r="G9" s="208" t="s">
        <v>3967</v>
      </c>
    </row>
    <row r="10" spans="1:8" s="56" customFormat="1" ht="11.25" x14ac:dyDescent="0.2">
      <c r="A10" s="54">
        <v>1</v>
      </c>
      <c r="B10" s="55">
        <v>2</v>
      </c>
      <c r="C10" s="54">
        <v>3</v>
      </c>
      <c r="D10" s="55">
        <v>4</v>
      </c>
      <c r="E10" s="54">
        <v>5</v>
      </c>
      <c r="F10" s="55">
        <v>6</v>
      </c>
      <c r="G10" s="54">
        <v>7</v>
      </c>
    </row>
    <row r="11" spans="1:8" s="59" customFormat="1" ht="90.75" customHeight="1" x14ac:dyDescent="0.2">
      <c r="A11" s="60">
        <v>1</v>
      </c>
      <c r="B11" s="442" t="s">
        <v>4302</v>
      </c>
      <c r="C11" s="60">
        <v>1</v>
      </c>
      <c r="D11" s="205">
        <v>5000</v>
      </c>
      <c r="E11" s="205">
        <v>1</v>
      </c>
      <c r="F11" s="205">
        <f>D11*E11</f>
        <v>5000</v>
      </c>
      <c r="G11" s="205"/>
    </row>
    <row r="12" spans="1:8" x14ac:dyDescent="0.2">
      <c r="A12" s="38"/>
      <c r="B12" s="38"/>
      <c r="C12" s="38"/>
      <c r="D12" s="38"/>
      <c r="E12" s="38"/>
      <c r="G12" s="59"/>
    </row>
    <row r="13" spans="1:8" ht="15" hidden="1" x14ac:dyDescent="0.2">
      <c r="B13" s="791" t="s">
        <v>3847</v>
      </c>
      <c r="C13" s="791"/>
      <c r="D13" s="791"/>
      <c r="E13" s="791"/>
      <c r="F13" s="791"/>
    </row>
    <row r="14" spans="1:8" s="23" customFormat="1" ht="17.25" customHeight="1" x14ac:dyDescent="0.2">
      <c r="A14" s="21"/>
    </row>
    <row r="15" spans="1:8" s="23" customFormat="1" ht="18" customHeight="1" x14ac:dyDescent="0.2">
      <c r="A15" s="42"/>
      <c r="B15" s="25"/>
    </row>
    <row r="16" spans="1:8" s="23" customFormat="1" ht="15" x14ac:dyDescent="0.2">
      <c r="A16" s="42"/>
      <c r="B16" s="206"/>
    </row>
    <row r="17" spans="1:2" s="23" customFormat="1" ht="15" x14ac:dyDescent="0.2">
      <c r="A17" s="42"/>
      <c r="B17" s="206"/>
    </row>
    <row r="18" spans="1:2" s="23" customFormat="1" ht="15" x14ac:dyDescent="0.2">
      <c r="A18" s="206"/>
    </row>
    <row r="19" spans="1:2" s="23" customFormat="1" ht="15" x14ac:dyDescent="0.2">
      <c r="A19" s="792"/>
      <c r="B19" s="793"/>
    </row>
    <row r="20" spans="1:2" s="23" customFormat="1" ht="15" customHeight="1" x14ac:dyDescent="0.2">
      <c r="A20" s="788"/>
      <c r="B20" s="788"/>
    </row>
    <row r="21" spans="1:2" s="23" customFormat="1" ht="15" x14ac:dyDescent="0.2">
      <c r="A21" s="788"/>
      <c r="B21" s="788"/>
    </row>
    <row r="22" spans="1:2" s="23" customFormat="1" ht="15" x14ac:dyDescent="0.2">
      <c r="A22" s="788"/>
      <c r="B22" s="788"/>
    </row>
    <row r="23" spans="1:2" s="23" customFormat="1" ht="15" x14ac:dyDescent="0.2">
      <c r="A23" s="206"/>
      <c r="B23" s="206"/>
    </row>
  </sheetData>
  <mergeCells count="8">
    <mergeCell ref="E1:G1"/>
    <mergeCell ref="A22:B22"/>
    <mergeCell ref="B7:G7"/>
    <mergeCell ref="B13:F13"/>
    <mergeCell ref="A19:B19"/>
    <mergeCell ref="A20:B20"/>
    <mergeCell ref="A21:B21"/>
    <mergeCell ref="E2:H2"/>
  </mergeCells>
  <pageMargins left="0.7" right="0.7" top="0.75" bottom="0.75" header="0.3" footer="0.3"/>
  <pageSetup paperSize="9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12"/>
  <sheetViews>
    <sheetView workbookViewId="0">
      <pane ySplit="5" topLeftCell="A6" activePane="bottomLeft" state="frozenSplit"/>
      <selection activeCell="D12" sqref="D12"/>
      <selection pane="bottomLeft" activeCell="I34" sqref="I34"/>
    </sheetView>
  </sheetViews>
  <sheetFormatPr defaultRowHeight="12.75" x14ac:dyDescent="0.2"/>
  <cols>
    <col min="2" max="2" width="16.5703125" customWidth="1"/>
    <col min="3" max="3" width="12.7109375" customWidth="1"/>
    <col min="4" max="5" width="11.140625" customWidth="1"/>
    <col min="6" max="6" width="9.140625" customWidth="1"/>
    <col min="7" max="8" width="10.7109375" customWidth="1"/>
    <col min="9" max="9" width="12.140625" customWidth="1"/>
    <col min="10" max="10" width="9.85546875" customWidth="1"/>
    <col min="11" max="11" width="12.5703125" customWidth="1"/>
    <col min="12" max="12" width="17.7109375" hidden="1" customWidth="1"/>
    <col min="13" max="13" width="14.7109375" hidden="1" customWidth="1"/>
  </cols>
  <sheetData>
    <row r="1" spans="1:13" s="24" customFormat="1" ht="15" x14ac:dyDescent="0.2">
      <c r="K1" s="801" t="s">
        <v>4036</v>
      </c>
      <c r="L1" s="801"/>
      <c r="M1" s="801"/>
    </row>
    <row r="2" spans="1:13" s="24" customFormat="1" ht="15" x14ac:dyDescent="0.2">
      <c r="K2" s="844" t="s">
        <v>68</v>
      </c>
      <c r="L2" s="844"/>
      <c r="M2" s="844"/>
    </row>
    <row r="3" spans="1:13" x14ac:dyDescent="0.2">
      <c r="A3" s="1"/>
      <c r="B3" s="1"/>
      <c r="C3" s="1"/>
      <c r="D3" s="1"/>
      <c r="E3" s="1"/>
      <c r="F3" s="1"/>
    </row>
    <row r="4" spans="1:13" ht="42.75" customHeight="1" x14ac:dyDescent="0.2">
      <c r="A4" s="823" t="s">
        <v>3832</v>
      </c>
      <c r="B4" s="823"/>
      <c r="C4" s="823"/>
      <c r="D4" s="823"/>
      <c r="E4" s="823"/>
      <c r="F4" s="823"/>
      <c r="G4" s="823"/>
      <c r="H4" s="823"/>
      <c r="I4" s="823"/>
      <c r="J4" s="823"/>
      <c r="K4" s="823"/>
      <c r="L4" s="823"/>
      <c r="M4" s="823"/>
    </row>
    <row r="5" spans="1:13" ht="9.75" customHeight="1" x14ac:dyDescent="0.2">
      <c r="B5" s="23"/>
      <c r="C5" s="23"/>
      <c r="D5" s="23"/>
      <c r="E5" s="23"/>
      <c r="F5" s="23"/>
      <c r="G5" s="370"/>
      <c r="H5" s="444"/>
      <c r="I5" s="370"/>
      <c r="J5" s="370"/>
    </row>
    <row r="6" spans="1:13" s="23" customFormat="1" ht="15" hidden="1" customHeight="1" x14ac:dyDescent="0.2">
      <c r="A6" s="788"/>
      <c r="B6" s="788"/>
      <c r="C6" s="788"/>
      <c r="D6" s="368"/>
      <c r="E6" s="443"/>
      <c r="F6" s="368"/>
      <c r="L6" s="256" t="e">
        <f>#REF!/12/12</f>
        <v>#REF!</v>
      </c>
      <c r="M6" s="256" t="e">
        <f>#REF!/12/12</f>
        <v>#REF!</v>
      </c>
    </row>
    <row r="7" spans="1:13" s="23" customFormat="1" ht="15" hidden="1" customHeight="1" x14ac:dyDescent="0.2">
      <c r="A7" s="788"/>
      <c r="B7" s="788"/>
      <c r="C7" s="788"/>
      <c r="D7" s="368"/>
      <c r="E7" s="443"/>
      <c r="F7" s="368"/>
      <c r="L7" s="257">
        <f>'[2]питание (2)'!H40</f>
        <v>133.73695529999998</v>
      </c>
      <c r="M7" s="257">
        <f>'[2]питание (2)'!I40</f>
        <v>159.74055669999998</v>
      </c>
    </row>
    <row r="8" spans="1:13" s="23" customFormat="1" ht="15" x14ac:dyDescent="0.2">
      <c r="A8" s="788"/>
      <c r="B8" s="788"/>
      <c r="C8" s="788"/>
      <c r="D8" s="368"/>
      <c r="E8" s="443"/>
      <c r="F8" s="368"/>
    </row>
    <row r="9" spans="1:13" s="23" customFormat="1" ht="63.75" x14ac:dyDescent="0.2">
      <c r="A9" s="51" t="s">
        <v>122</v>
      </c>
      <c r="B9" s="51" t="s">
        <v>4038</v>
      </c>
      <c r="C9" s="371" t="s">
        <v>4039</v>
      </c>
      <c r="D9" s="852" t="s">
        <v>4197</v>
      </c>
      <c r="E9" s="853"/>
      <c r="F9" s="291" t="s">
        <v>4198</v>
      </c>
      <c r="G9" s="852" t="s">
        <v>4199</v>
      </c>
      <c r="H9" s="853"/>
      <c r="I9" s="291" t="s">
        <v>4307</v>
      </c>
      <c r="J9" s="291" t="s">
        <v>4308</v>
      </c>
    </row>
    <row r="10" spans="1:13" ht="38.25" x14ac:dyDescent="0.2">
      <c r="A10" s="54">
        <v>1</v>
      </c>
      <c r="B10" s="55">
        <v>2</v>
      </c>
      <c r="C10" s="54">
        <v>3</v>
      </c>
      <c r="D10" s="291" t="s">
        <v>4303</v>
      </c>
      <c r="E10" s="291" t="s">
        <v>4304</v>
      </c>
      <c r="F10" s="291" t="s">
        <v>4198</v>
      </c>
      <c r="G10" s="291" t="s">
        <v>4305</v>
      </c>
      <c r="H10" s="291" t="s">
        <v>4306</v>
      </c>
      <c r="I10" s="54">
        <v>7</v>
      </c>
      <c r="J10" s="54">
        <v>8</v>
      </c>
    </row>
    <row r="11" spans="1:13" ht="24.75" customHeight="1" x14ac:dyDescent="0.2">
      <c r="A11" s="57">
        <v>1</v>
      </c>
      <c r="B11" s="369" t="s">
        <v>4190</v>
      </c>
      <c r="C11" s="60">
        <v>1</v>
      </c>
      <c r="D11" s="240">
        <f>'[3]Расчет на 2024г.'!L$40</f>
        <v>5723.8783649052839</v>
      </c>
      <c r="E11" s="240">
        <f>'[3]Расчет на 2024г.'!M$40</f>
        <v>5203.040144883792</v>
      </c>
      <c r="F11" s="240">
        <f>H11/E11</f>
        <v>1.1759718951019265</v>
      </c>
      <c r="G11" s="240">
        <f>'[3]Расчет на 2024г. (новые цены)'!L$40</f>
        <v>5759.2191909689564</v>
      </c>
      <c r="H11" s="240">
        <f>'[3]Расчет на 2024г. (новые цены)'!M$40</f>
        <v>6118.6289794703944</v>
      </c>
      <c r="I11" s="240">
        <f>G11</f>
        <v>5759.2191909689564</v>
      </c>
      <c r="J11" s="240">
        <f>H11</f>
        <v>6118.6289794703944</v>
      </c>
    </row>
    <row r="12" spans="1:13" ht="15" x14ac:dyDescent="0.2">
      <c r="A12" s="214"/>
      <c r="B12" s="215"/>
      <c r="C12" s="372"/>
      <c r="D12" s="372"/>
      <c r="E12" s="445"/>
      <c r="F12" s="372"/>
      <c r="G12" s="217" t="s">
        <v>3825</v>
      </c>
      <c r="H12" s="217"/>
      <c r="I12" s="218">
        <f>SUM(I11:I11)</f>
        <v>5759.2191909689564</v>
      </c>
      <c r="J12" s="218">
        <f>SUM(J11:J11)</f>
        <v>6118.6289794703944</v>
      </c>
    </row>
  </sheetData>
  <mergeCells count="8">
    <mergeCell ref="K1:M1"/>
    <mergeCell ref="K2:M2"/>
    <mergeCell ref="A4:M4"/>
    <mergeCell ref="D9:E9"/>
    <mergeCell ref="G9:H9"/>
    <mergeCell ref="A6:C6"/>
    <mergeCell ref="A7:C7"/>
    <mergeCell ref="A8:C8"/>
  </mergeCells>
  <pageMargins left="0.17" right="0.24" top="0.45" bottom="0.39" header="0.28000000000000003" footer="0.26"/>
  <pageSetup paperSize="9" orientation="landscape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12"/>
  <sheetViews>
    <sheetView workbookViewId="0">
      <pane ySplit="5" topLeftCell="A6" activePane="bottomLeft" state="frozenSplit"/>
      <selection activeCell="D12" sqref="D12"/>
      <selection pane="bottomLeft" activeCell="G2" sqref="G2:J2"/>
    </sheetView>
  </sheetViews>
  <sheetFormatPr defaultRowHeight="12.75" x14ac:dyDescent="0.2"/>
  <cols>
    <col min="2" max="2" width="16.5703125" customWidth="1"/>
    <col min="3" max="3" width="12.7109375" customWidth="1"/>
    <col min="4" max="5" width="11.140625" customWidth="1"/>
    <col min="6" max="6" width="9.140625" customWidth="1"/>
    <col min="7" max="8" width="10.7109375" customWidth="1"/>
    <col min="9" max="9" width="12.140625" customWidth="1"/>
    <col min="10" max="10" width="9.85546875" customWidth="1"/>
    <col min="11" max="11" width="12.5703125" customWidth="1"/>
    <col min="12" max="12" width="17.7109375" hidden="1" customWidth="1"/>
    <col min="13" max="13" width="14.7109375" hidden="1" customWidth="1"/>
  </cols>
  <sheetData>
    <row r="1" spans="1:13" s="24" customFormat="1" ht="15" x14ac:dyDescent="0.2">
      <c r="G1" s="782" t="s">
        <v>4719</v>
      </c>
      <c r="H1" s="539"/>
      <c r="I1" s="539"/>
    </row>
    <row r="2" spans="1:13" s="24" customFormat="1" ht="15" x14ac:dyDescent="0.2">
      <c r="G2" s="801" t="s">
        <v>4586</v>
      </c>
      <c r="H2" s="801"/>
      <c r="I2" s="801"/>
      <c r="J2" s="801"/>
    </row>
    <row r="3" spans="1:13" x14ac:dyDescent="0.2">
      <c r="A3" s="1"/>
      <c r="B3" s="1"/>
      <c r="C3" s="1"/>
      <c r="D3" s="1"/>
      <c r="E3" s="1"/>
      <c r="F3" s="1"/>
    </row>
    <row r="4" spans="1:13" ht="42.75" customHeight="1" x14ac:dyDescent="0.2">
      <c r="A4" s="823" t="s">
        <v>3832</v>
      </c>
      <c r="B4" s="823"/>
      <c r="C4" s="823"/>
      <c r="D4" s="823"/>
      <c r="E4" s="823"/>
      <c r="F4" s="823"/>
      <c r="G4" s="823"/>
      <c r="H4" s="823"/>
      <c r="I4" s="823"/>
      <c r="J4" s="823"/>
      <c r="K4" s="823"/>
      <c r="L4" s="823"/>
      <c r="M4" s="823"/>
    </row>
    <row r="5" spans="1:13" ht="9.75" customHeight="1" x14ac:dyDescent="0.2">
      <c r="B5" s="23"/>
      <c r="C5" s="23"/>
      <c r="D5" s="23"/>
      <c r="E5" s="23"/>
      <c r="F5" s="23"/>
      <c r="G5" s="464"/>
      <c r="H5" s="464"/>
      <c r="I5" s="464"/>
      <c r="J5" s="464"/>
    </row>
    <row r="6" spans="1:13" s="23" customFormat="1" ht="15" hidden="1" customHeight="1" x14ac:dyDescent="0.2">
      <c r="A6" s="788"/>
      <c r="B6" s="788"/>
      <c r="C6" s="788"/>
      <c r="D6" s="459"/>
      <c r="E6" s="459"/>
      <c r="F6" s="459"/>
      <c r="L6" s="256" t="e">
        <f>#REF!/12/12</f>
        <v>#REF!</v>
      </c>
      <c r="M6" s="256" t="e">
        <f>#REF!/12/12</f>
        <v>#REF!</v>
      </c>
    </row>
    <row r="7" spans="1:13" s="23" customFormat="1" ht="15" hidden="1" customHeight="1" x14ac:dyDescent="0.2">
      <c r="A7" s="788"/>
      <c r="B7" s="788"/>
      <c r="C7" s="788"/>
      <c r="D7" s="459"/>
      <c r="E7" s="459"/>
      <c r="F7" s="459"/>
      <c r="L7" s="257">
        <f>'[2]питание (2)'!H40</f>
        <v>133.73695529999998</v>
      </c>
      <c r="M7" s="257">
        <f>'[2]питание (2)'!I40</f>
        <v>159.74055669999998</v>
      </c>
    </row>
    <row r="8" spans="1:13" s="23" customFormat="1" ht="15" x14ac:dyDescent="0.2">
      <c r="A8" s="788"/>
      <c r="B8" s="788"/>
      <c r="C8" s="788"/>
      <c r="D8" s="459"/>
      <c r="E8" s="459"/>
      <c r="F8" s="459"/>
    </row>
    <row r="9" spans="1:13" s="23" customFormat="1" ht="63.75" x14ac:dyDescent="0.2">
      <c r="A9" s="51" t="s">
        <v>122</v>
      </c>
      <c r="B9" s="51" t="s">
        <v>4038</v>
      </c>
      <c r="C9" s="465" t="s">
        <v>4039</v>
      </c>
      <c r="D9" s="852" t="s">
        <v>4322</v>
      </c>
      <c r="E9" s="853"/>
      <c r="F9" s="291" t="s">
        <v>4359</v>
      </c>
      <c r="G9" s="852" t="s">
        <v>4360</v>
      </c>
      <c r="H9" s="853"/>
      <c r="I9" s="291" t="s">
        <v>4307</v>
      </c>
      <c r="J9" s="291" t="s">
        <v>4308</v>
      </c>
    </row>
    <row r="10" spans="1:13" ht="38.25" x14ac:dyDescent="0.2">
      <c r="A10" s="54">
        <v>1</v>
      </c>
      <c r="B10" s="55">
        <v>2</v>
      </c>
      <c r="C10" s="54">
        <v>3</v>
      </c>
      <c r="D10" s="291" t="s">
        <v>4323</v>
      </c>
      <c r="E10" s="291" t="s">
        <v>4324</v>
      </c>
      <c r="F10" s="291" t="s">
        <v>4359</v>
      </c>
      <c r="G10" s="291" t="s">
        <v>4583</v>
      </c>
      <c r="H10" s="291" t="s">
        <v>4584</v>
      </c>
      <c r="I10" s="54">
        <v>7</v>
      </c>
      <c r="J10" s="54">
        <v>8</v>
      </c>
    </row>
    <row r="11" spans="1:13" ht="24.75" customHeight="1" x14ac:dyDescent="0.2">
      <c r="A11" s="57">
        <v>1</v>
      </c>
      <c r="B11" s="462" t="s">
        <v>4190</v>
      </c>
      <c r="C11" s="60">
        <v>1</v>
      </c>
      <c r="D11" s="240">
        <f>'[4]Расчет на 2025г. (свод)'!$L$40</f>
        <v>6680.4827586206884</v>
      </c>
      <c r="E11" s="240">
        <f>'[4]Расчет на 2025г. (свод)'!$M$40</f>
        <v>7382.0152746181338</v>
      </c>
      <c r="F11" s="240">
        <f>H11/E11</f>
        <v>1.0317460317460319</v>
      </c>
      <c r="G11" s="240">
        <f>'[4]Расчет на 2025г. (свод)'!$R$40</f>
        <v>6910.8442330558855</v>
      </c>
      <c r="H11" s="240">
        <f>'[4]Расчет на 2025г. (свод)'!$S$40</f>
        <v>7616.3649658758532</v>
      </c>
      <c r="I11" s="240">
        <f>G11</f>
        <v>6910.8442330558855</v>
      </c>
      <c r="J11" s="240">
        <f>H11</f>
        <v>7616.3649658758532</v>
      </c>
    </row>
    <row r="12" spans="1:13" ht="15" x14ac:dyDescent="0.2">
      <c r="A12" s="214"/>
      <c r="B12" s="215"/>
      <c r="C12" s="466"/>
      <c r="D12" s="466"/>
      <c r="E12" s="466"/>
      <c r="F12" s="466"/>
      <c r="G12" s="217" t="s">
        <v>3825</v>
      </c>
      <c r="H12" s="217"/>
      <c r="I12" s="218">
        <f>SUM(I11:I11)</f>
        <v>6910.8442330558855</v>
      </c>
      <c r="J12" s="218">
        <f>SUM(J11:J11)</f>
        <v>7616.3649658758532</v>
      </c>
    </row>
  </sheetData>
  <mergeCells count="7">
    <mergeCell ref="G2:J2"/>
    <mergeCell ref="D9:E9"/>
    <mergeCell ref="G9:H9"/>
    <mergeCell ref="A4:M4"/>
    <mergeCell ref="A6:C6"/>
    <mergeCell ref="A7:C7"/>
    <mergeCell ref="A8:C8"/>
  </mergeCells>
  <pageMargins left="0.17" right="0.24" top="0.45" bottom="0.39" header="0.28000000000000003" footer="0.26"/>
  <pageSetup paperSize="9" orientation="landscape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12"/>
  <sheetViews>
    <sheetView workbookViewId="0">
      <pane ySplit="5" topLeftCell="A6" activePane="bottomLeft" state="frozenSplit"/>
      <selection activeCell="H11" sqref="H11"/>
      <selection pane="bottomLeft" activeCell="F1" sqref="F1:H1"/>
    </sheetView>
  </sheetViews>
  <sheetFormatPr defaultRowHeight="12.75" x14ac:dyDescent="0.2"/>
  <cols>
    <col min="2" max="2" width="16.5703125" customWidth="1"/>
    <col min="3" max="3" width="15.42578125" customWidth="1"/>
    <col min="4" max="4" width="11.140625" customWidth="1"/>
    <col min="5" max="5" width="14.42578125" customWidth="1"/>
    <col min="6" max="6" width="9.140625" customWidth="1"/>
    <col min="7" max="8" width="10.7109375" customWidth="1"/>
    <col min="9" max="9" width="12.140625" customWidth="1"/>
    <col min="10" max="10" width="9.85546875" customWidth="1"/>
    <col min="11" max="11" width="12.5703125" customWidth="1"/>
    <col min="12" max="12" width="17.7109375" hidden="1" customWidth="1"/>
    <col min="13" max="13" width="14.7109375" hidden="1" customWidth="1"/>
  </cols>
  <sheetData>
    <row r="1" spans="1:13" s="24" customFormat="1" ht="15" x14ac:dyDescent="0.2">
      <c r="F1" s="801" t="s">
        <v>4720</v>
      </c>
      <c r="G1" s="801"/>
      <c r="H1" s="801"/>
    </row>
    <row r="2" spans="1:13" s="24" customFormat="1" ht="15" x14ac:dyDescent="0.2">
      <c r="F2" s="801" t="s">
        <v>4586</v>
      </c>
      <c r="G2" s="801"/>
      <c r="H2" s="801"/>
      <c r="I2" s="801"/>
    </row>
    <row r="3" spans="1:13" x14ac:dyDescent="0.2">
      <c r="A3" s="1"/>
      <c r="B3" s="1"/>
      <c r="C3" s="1"/>
      <c r="D3" s="1"/>
      <c r="E3" s="1"/>
      <c r="F3" s="1"/>
    </row>
    <row r="4" spans="1:13" ht="42.75" customHeight="1" x14ac:dyDescent="0.2">
      <c r="A4" s="823" t="s">
        <v>3832</v>
      </c>
      <c r="B4" s="823"/>
      <c r="C4" s="823"/>
      <c r="D4" s="823"/>
      <c r="E4" s="823"/>
      <c r="F4" s="823"/>
      <c r="G4" s="823"/>
      <c r="H4" s="823"/>
      <c r="I4" s="823"/>
      <c r="J4" s="823"/>
      <c r="K4" s="823"/>
      <c r="L4" s="823"/>
      <c r="M4" s="823"/>
    </row>
    <row r="5" spans="1:13" ht="9.75" customHeight="1" x14ac:dyDescent="0.2">
      <c r="B5" s="23"/>
      <c r="C5" s="23"/>
      <c r="D5" s="23"/>
      <c r="E5" s="23"/>
      <c r="F5" s="23"/>
      <c r="G5" s="375"/>
      <c r="H5" s="444"/>
      <c r="I5" s="375"/>
      <c r="J5" s="375"/>
    </row>
    <row r="6" spans="1:13" s="23" customFormat="1" ht="15" hidden="1" customHeight="1" x14ac:dyDescent="0.2">
      <c r="A6" s="788"/>
      <c r="B6" s="788"/>
      <c r="C6" s="788"/>
      <c r="D6" s="373"/>
      <c r="E6" s="443"/>
      <c r="F6" s="373"/>
      <c r="L6" s="256" t="e">
        <f>#REF!/12/12</f>
        <v>#REF!</v>
      </c>
      <c r="M6" s="256" t="e">
        <f>#REF!/12/12</f>
        <v>#REF!</v>
      </c>
    </row>
    <row r="7" spans="1:13" s="23" customFormat="1" ht="15" hidden="1" customHeight="1" x14ac:dyDescent="0.2">
      <c r="A7" s="788"/>
      <c r="B7" s="788"/>
      <c r="C7" s="788"/>
      <c r="D7" s="373"/>
      <c r="E7" s="443"/>
      <c r="F7" s="373"/>
      <c r="L7" s="257">
        <f>'[2]питание (2)'!H40</f>
        <v>133.73695529999998</v>
      </c>
      <c r="M7" s="257">
        <f>'[2]питание (2)'!I40</f>
        <v>159.74055669999998</v>
      </c>
    </row>
    <row r="8" spans="1:13" s="23" customFormat="1" ht="15" x14ac:dyDescent="0.2">
      <c r="A8" s="788"/>
      <c r="B8" s="788"/>
      <c r="C8" s="788"/>
      <c r="D8" s="373"/>
      <c r="E8" s="443"/>
      <c r="F8" s="373"/>
    </row>
    <row r="9" spans="1:13" s="23" customFormat="1" ht="63.75" x14ac:dyDescent="0.2">
      <c r="A9" s="51" t="s">
        <v>122</v>
      </c>
      <c r="B9" s="51" t="s">
        <v>4038</v>
      </c>
      <c r="C9" s="376" t="s">
        <v>4039</v>
      </c>
      <c r="D9" s="854" t="s">
        <v>4322</v>
      </c>
      <c r="E9" s="853"/>
      <c r="F9" s="118" t="s">
        <v>4359</v>
      </c>
      <c r="G9" s="854" t="s">
        <v>4360</v>
      </c>
      <c r="H9" s="853"/>
      <c r="I9" s="291" t="s">
        <v>4307</v>
      </c>
      <c r="J9" s="291" t="s">
        <v>4308</v>
      </c>
    </row>
    <row r="10" spans="1:13" ht="38.25" x14ac:dyDescent="0.2">
      <c r="A10" s="54">
        <v>1</v>
      </c>
      <c r="B10" s="55">
        <v>2</v>
      </c>
      <c r="C10" s="54">
        <v>3</v>
      </c>
      <c r="D10" s="118" t="s">
        <v>4323</v>
      </c>
      <c r="E10" s="118" t="s">
        <v>4324</v>
      </c>
      <c r="F10" s="118" t="s">
        <v>4359</v>
      </c>
      <c r="G10" s="118" t="s">
        <v>4583</v>
      </c>
      <c r="H10" s="118" t="s">
        <v>4584</v>
      </c>
      <c r="I10" s="54">
        <v>7</v>
      </c>
      <c r="J10" s="54">
        <v>8</v>
      </c>
    </row>
    <row r="11" spans="1:13" ht="25.5" x14ac:dyDescent="0.2">
      <c r="A11" s="57">
        <v>1</v>
      </c>
      <c r="B11" s="374" t="s">
        <v>4190</v>
      </c>
      <c r="C11" s="60">
        <v>1</v>
      </c>
      <c r="D11" s="240">
        <f>'[4]Расчет на 2025г. (свод)'!$L$36</f>
        <v>24303.135552913198</v>
      </c>
      <c r="E11" s="240">
        <f>'[4]Расчет на 2025г. (свод)'!$M$36</f>
        <v>28707.837179070524</v>
      </c>
      <c r="F11" s="240">
        <f>H11/E11</f>
        <v>1.3162550782526825</v>
      </c>
      <c r="G11" s="240">
        <f>'[5]Расчет на цены без учета 5% '!$N$37</f>
        <v>29034.106826514209</v>
      </c>
      <c r="H11" s="240">
        <f>'[5]Расчет на цены без учета 5% '!$O$37</f>
        <v>37786.836472602743</v>
      </c>
      <c r="I11" s="240">
        <f>C11*G11</f>
        <v>29034.106826514209</v>
      </c>
      <c r="J11" s="240">
        <f>H11*C11</f>
        <v>37786.836472602743</v>
      </c>
    </row>
    <row r="12" spans="1:13" ht="15" x14ac:dyDescent="0.2">
      <c r="A12" s="214"/>
      <c r="B12" s="215"/>
      <c r="C12" s="377"/>
      <c r="D12" s="377"/>
      <c r="E12" s="445"/>
      <c r="F12" s="377"/>
      <c r="G12" s="217" t="s">
        <v>3825</v>
      </c>
      <c r="H12" s="217"/>
      <c r="I12" s="218">
        <f>SUM(I11:I11)</f>
        <v>29034.106826514209</v>
      </c>
      <c r="J12" s="218">
        <f>SUM(J11:J11)</f>
        <v>37786.836472602743</v>
      </c>
    </row>
  </sheetData>
  <mergeCells count="8">
    <mergeCell ref="D9:E9"/>
    <mergeCell ref="G9:H9"/>
    <mergeCell ref="A8:C8"/>
    <mergeCell ref="F1:H1"/>
    <mergeCell ref="A4:M4"/>
    <mergeCell ref="A6:C6"/>
    <mergeCell ref="A7:C7"/>
    <mergeCell ref="F2:I2"/>
  </mergeCells>
  <pageMargins left="0.17" right="0.24" top="0.45" bottom="0.39" header="0.28000000000000003" footer="0.26"/>
  <pageSetup paperSize="9" orientation="landscape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12"/>
  <sheetViews>
    <sheetView workbookViewId="0">
      <pane ySplit="5" topLeftCell="A6" activePane="bottomLeft" state="frozenSplit"/>
      <selection activeCell="H11" sqref="H11"/>
      <selection pane="bottomLeft" activeCell="F12" sqref="F12"/>
    </sheetView>
  </sheetViews>
  <sheetFormatPr defaultRowHeight="12.75" x14ac:dyDescent="0.2"/>
  <cols>
    <col min="2" max="2" width="16.5703125" customWidth="1"/>
    <col min="3" max="3" width="15.42578125" customWidth="1"/>
    <col min="4" max="4" width="11.140625" customWidth="1"/>
    <col min="5" max="5" width="14.42578125" customWidth="1"/>
    <col min="6" max="6" width="9.140625" customWidth="1"/>
    <col min="7" max="8" width="10.7109375" customWidth="1"/>
    <col min="9" max="9" width="12.140625" customWidth="1"/>
    <col min="10" max="10" width="9.85546875" customWidth="1"/>
    <col min="11" max="11" width="12.5703125" customWidth="1"/>
    <col min="12" max="12" width="17.7109375" hidden="1" customWidth="1"/>
    <col min="13" max="13" width="14.7109375" hidden="1" customWidth="1"/>
  </cols>
  <sheetData>
    <row r="1" spans="1:13" s="24" customFormat="1" ht="15" x14ac:dyDescent="0.2">
      <c r="G1" s="801" t="s">
        <v>4573</v>
      </c>
      <c r="H1" s="801"/>
      <c r="I1" s="801"/>
    </row>
    <row r="2" spans="1:13" s="24" customFormat="1" ht="15" x14ac:dyDescent="0.2">
      <c r="G2" s="801" t="s">
        <v>4586</v>
      </c>
      <c r="H2" s="801"/>
      <c r="I2" s="801"/>
      <c r="J2" s="801"/>
    </row>
    <row r="3" spans="1:13" x14ac:dyDescent="0.2">
      <c r="A3" s="1"/>
      <c r="B3" s="1"/>
      <c r="C3" s="1"/>
      <c r="D3" s="1"/>
      <c r="E3" s="1"/>
      <c r="F3" s="1"/>
    </row>
    <row r="4" spans="1:13" ht="42.75" customHeight="1" x14ac:dyDescent="0.2">
      <c r="A4" s="823" t="s">
        <v>3832</v>
      </c>
      <c r="B4" s="823"/>
      <c r="C4" s="823"/>
      <c r="D4" s="823"/>
      <c r="E4" s="823"/>
      <c r="F4" s="823"/>
      <c r="G4" s="823"/>
      <c r="H4" s="823"/>
      <c r="I4" s="823"/>
      <c r="J4" s="823"/>
      <c r="K4" s="823"/>
      <c r="L4" s="823"/>
      <c r="M4" s="823"/>
    </row>
    <row r="5" spans="1:13" ht="9.75" customHeight="1" x14ac:dyDescent="0.2">
      <c r="B5" s="23"/>
      <c r="C5" s="23"/>
      <c r="D5" s="23"/>
      <c r="E5" s="23"/>
      <c r="F5" s="23"/>
      <c r="G5" s="464"/>
      <c r="H5" s="464"/>
      <c r="I5" s="464"/>
      <c r="J5" s="464"/>
    </row>
    <row r="6" spans="1:13" s="23" customFormat="1" ht="15" hidden="1" customHeight="1" x14ac:dyDescent="0.2">
      <c r="A6" s="788"/>
      <c r="B6" s="788"/>
      <c r="C6" s="788"/>
      <c r="D6" s="459"/>
      <c r="E6" s="459"/>
      <c r="F6" s="459"/>
      <c r="L6" s="256" t="e">
        <f>#REF!/12/12</f>
        <v>#REF!</v>
      </c>
      <c r="M6" s="256" t="e">
        <f>#REF!/12/12</f>
        <v>#REF!</v>
      </c>
    </row>
    <row r="7" spans="1:13" s="23" customFormat="1" ht="15" hidden="1" customHeight="1" x14ac:dyDescent="0.2">
      <c r="A7" s="788"/>
      <c r="B7" s="788"/>
      <c r="C7" s="788"/>
      <c r="D7" s="459"/>
      <c r="E7" s="459"/>
      <c r="F7" s="459"/>
      <c r="L7" s="257">
        <f>'[2]питание (2)'!H40</f>
        <v>133.73695529999998</v>
      </c>
      <c r="M7" s="257">
        <f>'[2]питание (2)'!I40</f>
        <v>159.74055669999998</v>
      </c>
    </row>
    <row r="8" spans="1:13" s="23" customFormat="1" ht="15" x14ac:dyDescent="0.2">
      <c r="A8" s="788"/>
      <c r="B8" s="788"/>
      <c r="C8" s="788"/>
      <c r="D8" s="459"/>
      <c r="E8" s="459"/>
      <c r="F8" s="459"/>
    </row>
    <row r="9" spans="1:13" s="23" customFormat="1" ht="63.75" x14ac:dyDescent="0.2">
      <c r="A9" s="51" t="s">
        <v>122</v>
      </c>
      <c r="B9" s="51" t="s">
        <v>4038</v>
      </c>
      <c r="C9" s="465" t="s">
        <v>4039</v>
      </c>
      <c r="D9" s="854" t="s">
        <v>4322</v>
      </c>
      <c r="E9" s="853"/>
      <c r="F9" s="118" t="s">
        <v>4359</v>
      </c>
      <c r="G9" s="854" t="s">
        <v>4360</v>
      </c>
      <c r="H9" s="853"/>
      <c r="I9" s="291" t="s">
        <v>4307</v>
      </c>
      <c r="J9" s="291" t="s">
        <v>4308</v>
      </c>
    </row>
    <row r="10" spans="1:13" ht="38.25" x14ac:dyDescent="0.2">
      <c r="A10" s="54">
        <v>1</v>
      </c>
      <c r="B10" s="55">
        <v>2</v>
      </c>
      <c r="C10" s="54">
        <v>3</v>
      </c>
      <c r="D10" s="118" t="s">
        <v>4323</v>
      </c>
      <c r="E10" s="118" t="s">
        <v>4324</v>
      </c>
      <c r="F10" s="118" t="s">
        <v>4359</v>
      </c>
      <c r="G10" s="118" t="s">
        <v>4583</v>
      </c>
      <c r="H10" s="118" t="s">
        <v>4584</v>
      </c>
      <c r="I10" s="54">
        <v>7</v>
      </c>
      <c r="J10" s="54">
        <v>8</v>
      </c>
    </row>
    <row r="11" spans="1:13" ht="25.5" x14ac:dyDescent="0.2">
      <c r="A11" s="57">
        <v>1</v>
      </c>
      <c r="B11" s="462" t="s">
        <v>4190</v>
      </c>
      <c r="C11" s="60">
        <v>1</v>
      </c>
      <c r="D11" s="240">
        <f>[4]Лист1!$L$36</f>
        <v>25109.400713436386</v>
      </c>
      <c r="E11" s="240">
        <f>'питание (226) аутс (льг)'!H11</f>
        <v>37786.836472602743</v>
      </c>
      <c r="F11" s="240">
        <v>1</v>
      </c>
      <c r="G11" s="240">
        <f>D11</f>
        <v>25109.400713436386</v>
      </c>
      <c r="H11" s="240">
        <f>E11</f>
        <v>37786.836472602743</v>
      </c>
      <c r="I11" s="240">
        <f>C11*G11</f>
        <v>25109.400713436386</v>
      </c>
      <c r="J11" s="240">
        <f>H11*C11</f>
        <v>37786.836472602743</v>
      </c>
    </row>
    <row r="12" spans="1:13" ht="15" x14ac:dyDescent="0.2">
      <c r="A12" s="214"/>
      <c r="B12" s="215"/>
      <c r="C12" s="466"/>
      <c r="D12" s="466"/>
      <c r="E12" s="466"/>
      <c r="F12" s="466"/>
      <c r="G12" s="217" t="s">
        <v>3825</v>
      </c>
      <c r="H12" s="217"/>
      <c r="I12" s="218">
        <f>SUM(I11:I11)</f>
        <v>25109.400713436386</v>
      </c>
      <c r="J12" s="218">
        <f>SUM(J11:J11)</f>
        <v>37786.836472602743</v>
      </c>
    </row>
  </sheetData>
  <mergeCells count="8">
    <mergeCell ref="D9:E9"/>
    <mergeCell ref="G9:H9"/>
    <mergeCell ref="G1:I1"/>
    <mergeCell ref="A4:M4"/>
    <mergeCell ref="A6:C6"/>
    <mergeCell ref="A7:C7"/>
    <mergeCell ref="A8:C8"/>
    <mergeCell ref="G2:J2"/>
  </mergeCells>
  <pageMargins left="0.17" right="0.24" top="0.45" bottom="0.39" header="0.28000000000000003" footer="0.26"/>
  <pageSetup paperSize="9" orientation="landscape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20"/>
  <sheetViews>
    <sheetView view="pageBreakPreview" topLeftCell="B1" zoomScaleSheetLayoutView="100" workbookViewId="0">
      <selection activeCell="C1" sqref="C1:F1"/>
    </sheetView>
  </sheetViews>
  <sheetFormatPr defaultRowHeight="12.75" x14ac:dyDescent="0.2"/>
  <cols>
    <col min="1" max="1" width="4.85546875" customWidth="1"/>
    <col min="2" max="2" width="70.85546875" customWidth="1"/>
    <col min="3" max="3" width="17.5703125" customWidth="1"/>
    <col min="4" max="4" width="10.42578125" bestFit="1" customWidth="1"/>
    <col min="5" max="5" width="11.85546875" customWidth="1"/>
    <col min="6" max="6" width="18.42578125" bestFit="1" customWidth="1"/>
    <col min="7" max="7" width="18.7109375" style="428" customWidth="1"/>
    <col min="8" max="8" width="22.42578125" customWidth="1"/>
  </cols>
  <sheetData>
    <row r="1" spans="1:8" s="24" customFormat="1" ht="15" x14ac:dyDescent="0.2">
      <c r="C1" s="801" t="s">
        <v>4721</v>
      </c>
      <c r="D1" s="801"/>
      <c r="E1" s="801"/>
      <c r="F1" s="801"/>
      <c r="G1" s="541"/>
    </row>
    <row r="2" spans="1:8" s="24" customFormat="1" ht="15" x14ac:dyDescent="0.2">
      <c r="C2" s="801" t="s">
        <v>4586</v>
      </c>
      <c r="D2" s="801"/>
      <c r="E2" s="801"/>
      <c r="F2" s="801"/>
      <c r="G2" s="541"/>
    </row>
    <row r="3" spans="1:8" s="24" customFormat="1" ht="15" x14ac:dyDescent="0.2">
      <c r="G3" s="541"/>
    </row>
    <row r="4" spans="1:8" s="24" customFormat="1" ht="15" x14ac:dyDescent="0.2">
      <c r="G4" s="541"/>
    </row>
    <row r="5" spans="1:8" s="24" customFormat="1" ht="15" x14ac:dyDescent="0.2">
      <c r="G5" s="541"/>
    </row>
    <row r="6" spans="1:8" ht="31.5" customHeight="1" x14ac:dyDescent="0.2">
      <c r="A6" s="11"/>
      <c r="B6" s="823" t="s">
        <v>4117</v>
      </c>
      <c r="C6" s="823"/>
      <c r="D6" s="823"/>
      <c r="E6" s="823"/>
      <c r="F6" s="823"/>
    </row>
    <row r="7" spans="1:8" x14ac:dyDescent="0.2">
      <c r="A7" s="12"/>
      <c r="B7" s="12"/>
    </row>
    <row r="9" spans="1:8" s="23" customFormat="1" ht="17.25" customHeight="1" x14ac:dyDescent="0.2">
      <c r="A9" s="21"/>
      <c r="G9" s="542"/>
    </row>
    <row r="10" spans="1:8" s="23" customFormat="1" ht="68.25" customHeight="1" x14ac:dyDescent="0.2">
      <c r="A10" s="237" t="s">
        <v>4105</v>
      </c>
      <c r="B10" s="237" t="s">
        <v>4037</v>
      </c>
      <c r="C10" s="236" t="s">
        <v>4590</v>
      </c>
      <c r="D10" s="236" t="s">
        <v>4118</v>
      </c>
      <c r="E10" s="236" t="s">
        <v>4532</v>
      </c>
      <c r="F10" s="291" t="s">
        <v>4531</v>
      </c>
      <c r="G10" s="542"/>
    </row>
    <row r="11" spans="1:8" s="23" customFormat="1" ht="30" x14ac:dyDescent="0.25">
      <c r="A11" s="238">
        <v>1</v>
      </c>
      <c r="B11" s="288" t="s">
        <v>4527</v>
      </c>
      <c r="C11" s="603">
        <v>2438387718</v>
      </c>
      <c r="D11" s="274">
        <v>2.1999999999999999E-2</v>
      </c>
      <c r="E11" s="248">
        <v>85908.36</v>
      </c>
      <c r="F11" s="248">
        <f>C11*D11/E11</f>
        <v>624.43899285238354</v>
      </c>
      <c r="G11" s="542">
        <f>C11*D11</f>
        <v>53644529.795999996</v>
      </c>
      <c r="H11" s="256">
        <f>G11+G12+G15+G16</f>
        <v>190061018.43399999</v>
      </c>
    </row>
    <row r="12" spans="1:8" s="23" customFormat="1" ht="30" x14ac:dyDescent="0.25">
      <c r="A12" s="238">
        <v>2</v>
      </c>
      <c r="B12" s="288" t="s">
        <v>4528</v>
      </c>
      <c r="C12" s="603">
        <v>4438917904</v>
      </c>
      <c r="D12" s="274">
        <v>2.1999999999999999E-2</v>
      </c>
      <c r="E12" s="248">
        <v>126331</v>
      </c>
      <c r="F12" s="248">
        <f t="shared" ref="F12:F14" si="0">C12*D12/E12</f>
        <v>773.01845064156851</v>
      </c>
      <c r="G12" s="542">
        <f>C12*D12</f>
        <v>97656193.887999997</v>
      </c>
    </row>
    <row r="13" spans="1:8" s="23" customFormat="1" ht="15.75" x14ac:dyDescent="0.25">
      <c r="A13" s="238">
        <v>3</v>
      </c>
      <c r="B13" s="234" t="s">
        <v>4119</v>
      </c>
      <c r="C13" s="603">
        <v>7019465</v>
      </c>
      <c r="D13" s="274">
        <v>2.1999999999999999E-2</v>
      </c>
      <c r="E13" s="248">
        <v>2830.9</v>
      </c>
      <c r="F13" s="248">
        <f>C13*D13/E13</f>
        <v>54.550930799392411</v>
      </c>
      <c r="G13" s="542">
        <f>C13*D13</f>
        <v>154428.22999999998</v>
      </c>
    </row>
    <row r="14" spans="1:8" s="23" customFormat="1" ht="15.75" hidden="1" x14ac:dyDescent="0.25">
      <c r="A14" s="238"/>
      <c r="B14" s="234"/>
      <c r="C14" s="604"/>
      <c r="D14" s="274"/>
      <c r="E14" s="248"/>
      <c r="F14" s="248" t="e">
        <f t="shared" si="0"/>
        <v>#DIV/0!</v>
      </c>
      <c r="G14" s="542">
        <f t="shared" ref="G14:G17" si="1">C14*D14</f>
        <v>0</v>
      </c>
    </row>
    <row r="15" spans="1:8" s="23" customFormat="1" ht="15.75" hidden="1" x14ac:dyDescent="0.25">
      <c r="A15" s="238">
        <v>4</v>
      </c>
      <c r="B15" s="234" t="s">
        <v>4529</v>
      </c>
      <c r="C15" s="603">
        <v>1168863884</v>
      </c>
      <c r="D15" s="274">
        <v>1.4999999999999999E-2</v>
      </c>
      <c r="E15" s="248">
        <v>81631.460000000006</v>
      </c>
      <c r="F15" s="248"/>
      <c r="G15" s="542">
        <f t="shared" si="1"/>
        <v>17532958.259999998</v>
      </c>
    </row>
    <row r="16" spans="1:8" s="23" customFormat="1" ht="15.75" hidden="1" x14ac:dyDescent="0.25">
      <c r="A16" s="238">
        <v>5</v>
      </c>
      <c r="B16" s="234" t="s">
        <v>4530</v>
      </c>
      <c r="C16" s="603">
        <v>1415155766</v>
      </c>
      <c r="D16" s="274">
        <v>1.4999999999999999E-2</v>
      </c>
      <c r="E16" s="248">
        <v>126331</v>
      </c>
      <c r="F16" s="248"/>
      <c r="G16" s="542">
        <f t="shared" si="1"/>
        <v>21227336.489999998</v>
      </c>
    </row>
    <row r="17" spans="1:7" s="23" customFormat="1" ht="15.75" hidden="1" x14ac:dyDescent="0.25">
      <c r="A17" s="238">
        <v>6</v>
      </c>
      <c r="B17" s="234" t="s">
        <v>4120</v>
      </c>
      <c r="C17" s="603">
        <v>33373607</v>
      </c>
      <c r="D17" s="274">
        <v>1.4999999999999999E-2</v>
      </c>
      <c r="E17" s="248">
        <v>2830.9</v>
      </c>
      <c r="F17" s="248"/>
      <c r="G17" s="542">
        <f t="shared" si="1"/>
        <v>500604.10499999998</v>
      </c>
    </row>
    <row r="18" spans="1:7" s="23" customFormat="1" ht="15" x14ac:dyDescent="0.2">
      <c r="A18" s="788"/>
      <c r="B18" s="788"/>
      <c r="C18" s="332"/>
      <c r="G18" s="542"/>
    </row>
    <row r="19" spans="1:7" s="23" customFormat="1" ht="15" x14ac:dyDescent="0.2">
      <c r="A19" s="273"/>
      <c r="B19" s="273"/>
      <c r="G19" s="542"/>
    </row>
    <row r="20" spans="1:7" ht="15" hidden="1" x14ac:dyDescent="0.2">
      <c r="B20" s="791" t="s">
        <v>3847</v>
      </c>
      <c r="C20" s="791"/>
      <c r="D20" s="791"/>
      <c r="E20" s="540"/>
    </row>
  </sheetData>
  <mergeCells count="5">
    <mergeCell ref="B6:F6"/>
    <mergeCell ref="A18:B18"/>
    <mergeCell ref="B20:D20"/>
    <mergeCell ref="C1:F1"/>
    <mergeCell ref="C2:F2"/>
  </mergeCells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38"/>
  <sheetViews>
    <sheetView view="pageBreakPreview" zoomScaleSheetLayoutView="100" workbookViewId="0">
      <selection activeCell="G10" sqref="G10:G33"/>
    </sheetView>
  </sheetViews>
  <sheetFormatPr defaultRowHeight="12.75" x14ac:dyDescent="0.2"/>
  <cols>
    <col min="1" max="1" width="4.85546875" customWidth="1"/>
    <col min="2" max="2" width="70.85546875" customWidth="1"/>
    <col min="3" max="3" width="21" customWidth="1"/>
    <col min="4" max="4" width="10.42578125" bestFit="1" customWidth="1"/>
    <col min="5" max="5" width="11.85546875" customWidth="1"/>
    <col min="6" max="6" width="18.42578125" customWidth="1"/>
    <col min="7" max="7" width="18.7109375" style="557" customWidth="1"/>
    <col min="8" max="8" width="17.85546875" customWidth="1"/>
    <col min="9" max="9" width="15.5703125" bestFit="1" customWidth="1"/>
  </cols>
  <sheetData>
    <row r="1" spans="1:8" s="24" customFormat="1" ht="15" x14ac:dyDescent="0.2">
      <c r="C1" s="801" t="s">
        <v>4574</v>
      </c>
      <c r="D1" s="801"/>
      <c r="E1" s="801"/>
      <c r="F1" s="801"/>
      <c r="G1" s="762"/>
    </row>
    <row r="2" spans="1:8" s="24" customFormat="1" ht="15" x14ac:dyDescent="0.2">
      <c r="C2" s="801" t="s">
        <v>4586</v>
      </c>
      <c r="D2" s="801"/>
      <c r="E2" s="801"/>
      <c r="F2" s="801"/>
      <c r="G2" s="762"/>
    </row>
    <row r="3" spans="1:8" s="24" customFormat="1" ht="15" x14ac:dyDescent="0.2">
      <c r="G3" s="762"/>
    </row>
    <row r="4" spans="1:8" s="24" customFormat="1" ht="15" x14ac:dyDescent="0.2">
      <c r="G4" s="762"/>
    </row>
    <row r="5" spans="1:8" s="24" customFormat="1" ht="15" x14ac:dyDescent="0.2">
      <c r="G5" s="762"/>
    </row>
    <row r="6" spans="1:8" ht="31.5" customHeight="1" x14ac:dyDescent="0.2">
      <c r="A6" s="11"/>
      <c r="B6" s="823" t="s">
        <v>4117</v>
      </c>
      <c r="C6" s="823"/>
      <c r="D6" s="823"/>
      <c r="E6" s="823"/>
      <c r="F6" s="823"/>
    </row>
    <row r="7" spans="1:8" x14ac:dyDescent="0.2">
      <c r="A7" s="12"/>
      <c r="B7" s="12"/>
    </row>
    <row r="9" spans="1:8" s="23" customFormat="1" ht="17.25" customHeight="1" x14ac:dyDescent="0.2">
      <c r="A9" s="21"/>
      <c r="G9" s="763"/>
    </row>
    <row r="10" spans="1:8" s="23" customFormat="1" ht="68.25" customHeight="1" x14ac:dyDescent="0.2">
      <c r="A10" s="237" t="s">
        <v>4105</v>
      </c>
      <c r="B10" s="237" t="s">
        <v>4037</v>
      </c>
      <c r="C10" s="236" t="s">
        <v>4590</v>
      </c>
      <c r="D10" s="236" t="s">
        <v>4118</v>
      </c>
      <c r="E10" s="236" t="s">
        <v>4532</v>
      </c>
      <c r="F10" s="757" t="s">
        <v>4531</v>
      </c>
      <c r="G10" s="777" t="s">
        <v>4659</v>
      </c>
    </row>
    <row r="11" spans="1:8" s="23" customFormat="1" ht="15.75" x14ac:dyDescent="0.25">
      <c r="A11" s="238">
        <v>1</v>
      </c>
      <c r="B11" s="288" t="s">
        <v>4636</v>
      </c>
      <c r="C11" s="603">
        <v>152061854</v>
      </c>
      <c r="D11" s="274">
        <v>2.1999999999999999E-2</v>
      </c>
      <c r="E11" s="248">
        <v>5110.1000000000004</v>
      </c>
      <c r="F11" s="248">
        <f>C11*D11/E11</f>
        <v>654.65661885285988</v>
      </c>
      <c r="G11" s="248">
        <f>E11*F11</f>
        <v>3345360.7879999997</v>
      </c>
      <c r="H11" s="256"/>
    </row>
    <row r="12" spans="1:8" s="23" customFormat="1" ht="30.75" customHeight="1" x14ac:dyDescent="0.25">
      <c r="A12" s="238">
        <v>2</v>
      </c>
      <c r="B12" s="288" t="s">
        <v>4637</v>
      </c>
      <c r="C12" s="603">
        <v>43935450</v>
      </c>
      <c r="D12" s="274">
        <v>2.1999999999999999E-2</v>
      </c>
      <c r="E12" s="248">
        <v>3610.6</v>
      </c>
      <c r="F12" s="248">
        <f>C12*D12/E12</f>
        <v>267.70617071954797</v>
      </c>
      <c r="G12" s="248">
        <f t="shared" ref="G12:G33" si="0">E12*F12</f>
        <v>966579.89999999991</v>
      </c>
    </row>
    <row r="13" spans="1:8" s="23" customFormat="1" ht="30.75" customHeight="1" x14ac:dyDescent="0.25">
      <c r="A13" s="238">
        <v>3</v>
      </c>
      <c r="B13" s="288" t="s">
        <v>4638</v>
      </c>
      <c r="C13" s="603">
        <v>0</v>
      </c>
      <c r="D13" s="274">
        <v>2.1999999999999999E-2</v>
      </c>
      <c r="E13" s="248">
        <v>10734.3</v>
      </c>
      <c r="F13" s="248">
        <f>C13*D13/E13</f>
        <v>0</v>
      </c>
      <c r="G13" s="248">
        <f t="shared" si="0"/>
        <v>0</v>
      </c>
    </row>
    <row r="14" spans="1:8" s="23" customFormat="1" ht="30.75" customHeight="1" x14ac:dyDescent="0.25">
      <c r="A14" s="238">
        <v>4</v>
      </c>
      <c r="B14" s="288" t="s">
        <v>4639</v>
      </c>
      <c r="C14" s="603">
        <v>12104326</v>
      </c>
      <c r="D14" s="274">
        <v>2.1999999999999999E-2</v>
      </c>
      <c r="E14" s="248">
        <v>7599.9</v>
      </c>
      <c r="F14" s="248">
        <f>C14*D14/E14</f>
        <v>35.039299464466637</v>
      </c>
      <c r="G14" s="248">
        <f t="shared" si="0"/>
        <v>266295.17199999996</v>
      </c>
    </row>
    <row r="15" spans="1:8" s="23" customFormat="1" ht="30.75" customHeight="1" x14ac:dyDescent="0.25">
      <c r="A15" s="238">
        <v>5</v>
      </c>
      <c r="B15" s="288" t="s">
        <v>4640</v>
      </c>
      <c r="C15" s="603">
        <v>383964424</v>
      </c>
      <c r="D15" s="274">
        <v>2.1999999999999999E-2</v>
      </c>
      <c r="E15" s="248">
        <v>7389.6</v>
      </c>
      <c r="F15" s="248">
        <f t="shared" ref="F15:F33" si="1">C15*D15/E15</f>
        <v>1143.1224055429252</v>
      </c>
      <c r="G15" s="248">
        <f t="shared" si="0"/>
        <v>8447217.3279999997</v>
      </c>
    </row>
    <row r="16" spans="1:8" s="23" customFormat="1" ht="30.75" customHeight="1" x14ac:dyDescent="0.25">
      <c r="A16" s="238">
        <v>6</v>
      </c>
      <c r="B16" s="288" t="s">
        <v>4641</v>
      </c>
      <c r="C16" s="603">
        <v>649604345</v>
      </c>
      <c r="D16" s="274">
        <v>2.1999999999999999E-2</v>
      </c>
      <c r="E16" s="248">
        <v>9843.4</v>
      </c>
      <c r="F16" s="248">
        <f t="shared" si="1"/>
        <v>1451.865777068899</v>
      </c>
      <c r="G16" s="248">
        <f t="shared" si="0"/>
        <v>14291295.59</v>
      </c>
    </row>
    <row r="17" spans="1:7" s="23" customFormat="1" ht="30.75" customHeight="1" x14ac:dyDescent="0.25">
      <c r="A17" s="238">
        <v>7</v>
      </c>
      <c r="B17" s="288" t="s">
        <v>4642</v>
      </c>
      <c r="C17" s="603">
        <v>9674229</v>
      </c>
      <c r="D17" s="274">
        <v>2.1999999999999999E-2</v>
      </c>
      <c r="E17" s="248">
        <v>4252.5</v>
      </c>
      <c r="F17" s="248">
        <f t="shared" si="1"/>
        <v>50.048921340388006</v>
      </c>
      <c r="G17" s="248">
        <f t="shared" si="0"/>
        <v>212833.038</v>
      </c>
    </row>
    <row r="18" spans="1:7" s="23" customFormat="1" ht="30.75" customHeight="1" x14ac:dyDescent="0.25">
      <c r="A18" s="238">
        <v>8</v>
      </c>
      <c r="B18" s="288" t="s">
        <v>4643</v>
      </c>
      <c r="C18" s="603">
        <v>16189862</v>
      </c>
      <c r="D18" s="274">
        <v>2.1999999999999999E-2</v>
      </c>
      <c r="E18" s="248">
        <v>6645.2</v>
      </c>
      <c r="F18" s="248">
        <f t="shared" si="1"/>
        <v>53.599133810871002</v>
      </c>
      <c r="G18" s="248">
        <f t="shared" si="0"/>
        <v>356176.96399999998</v>
      </c>
    </row>
    <row r="19" spans="1:7" s="23" customFormat="1" ht="30.75" customHeight="1" x14ac:dyDescent="0.25">
      <c r="A19" s="238">
        <v>9</v>
      </c>
      <c r="B19" s="288" t="s">
        <v>4644</v>
      </c>
      <c r="C19" s="603">
        <v>20972830</v>
      </c>
      <c r="D19" s="274">
        <v>2.1999999999999999E-2</v>
      </c>
      <c r="E19" s="248">
        <v>9022.9</v>
      </c>
      <c r="F19" s="248">
        <f t="shared" si="1"/>
        <v>51.136803023418189</v>
      </c>
      <c r="G19" s="248">
        <f t="shared" si="0"/>
        <v>461402.25999999995</v>
      </c>
    </row>
    <row r="20" spans="1:7" s="23" customFormat="1" ht="30.75" customHeight="1" x14ac:dyDescent="0.25">
      <c r="A20" s="238">
        <v>10</v>
      </c>
      <c r="B20" s="288" t="s">
        <v>4645</v>
      </c>
      <c r="C20" s="603">
        <v>22347981</v>
      </c>
      <c r="D20" s="274">
        <v>2.1999999999999999E-2</v>
      </c>
      <c r="E20" s="248">
        <v>8714.9</v>
      </c>
      <c r="F20" s="248">
        <f t="shared" si="1"/>
        <v>56.41551618492467</v>
      </c>
      <c r="G20" s="248">
        <f t="shared" si="0"/>
        <v>491655.58199999999</v>
      </c>
    </row>
    <row r="21" spans="1:7" s="23" customFormat="1" ht="30.75" customHeight="1" x14ac:dyDescent="0.25">
      <c r="A21" s="238">
        <v>11</v>
      </c>
      <c r="B21" s="288" t="s">
        <v>4646</v>
      </c>
      <c r="C21" s="603">
        <v>16871881</v>
      </c>
      <c r="D21" s="274">
        <v>2.1999999999999999E-2</v>
      </c>
      <c r="E21" s="248">
        <v>4511.8</v>
      </c>
      <c r="F21" s="248">
        <f t="shared" si="1"/>
        <v>82.26902389290305</v>
      </c>
      <c r="G21" s="248">
        <f t="shared" si="0"/>
        <v>371181.38199999998</v>
      </c>
    </row>
    <row r="22" spans="1:7" s="23" customFormat="1" ht="30.75" customHeight="1" x14ac:dyDescent="0.25">
      <c r="A22" s="238">
        <v>12</v>
      </c>
      <c r="B22" s="288" t="s">
        <v>4647</v>
      </c>
      <c r="C22" s="603">
        <v>368051845</v>
      </c>
      <c r="D22" s="274">
        <v>2.1999999999999999E-2</v>
      </c>
      <c r="E22" s="248">
        <v>6101.5</v>
      </c>
      <c r="F22" s="248">
        <f t="shared" si="1"/>
        <v>1327.0737671064492</v>
      </c>
      <c r="G22" s="248">
        <f t="shared" si="0"/>
        <v>8097140.5899999999</v>
      </c>
    </row>
    <row r="23" spans="1:7" s="23" customFormat="1" ht="30.75" customHeight="1" x14ac:dyDescent="0.25">
      <c r="A23" s="238">
        <v>13</v>
      </c>
      <c r="B23" s="288" t="s">
        <v>4648</v>
      </c>
      <c r="C23" s="603">
        <v>1842266374</v>
      </c>
      <c r="D23" s="274">
        <v>2.1999999999999999E-2</v>
      </c>
      <c r="E23" s="248">
        <v>34915.9</v>
      </c>
      <c r="F23" s="248">
        <f t="shared" si="1"/>
        <v>1160.7852075415499</v>
      </c>
      <c r="G23" s="248">
        <f t="shared" si="0"/>
        <v>40529860.228</v>
      </c>
    </row>
    <row r="24" spans="1:7" s="23" customFormat="1" ht="30.75" customHeight="1" x14ac:dyDescent="0.25">
      <c r="A24" s="238">
        <v>14</v>
      </c>
      <c r="B24" s="288" t="s">
        <v>4649</v>
      </c>
      <c r="C24" s="603">
        <v>317084228</v>
      </c>
      <c r="D24" s="274">
        <v>2.1999999999999999E-2</v>
      </c>
      <c r="E24" s="248">
        <v>13954.2</v>
      </c>
      <c r="F24" s="248">
        <f t="shared" si="1"/>
        <v>499.91063737082737</v>
      </c>
      <c r="G24" s="248">
        <f t="shared" si="0"/>
        <v>6975853.0159999998</v>
      </c>
    </row>
    <row r="25" spans="1:7" s="23" customFormat="1" ht="30.75" customHeight="1" x14ac:dyDescent="0.25">
      <c r="A25" s="238">
        <v>15</v>
      </c>
      <c r="B25" s="288" t="s">
        <v>4650</v>
      </c>
      <c r="C25" s="603">
        <v>19077467</v>
      </c>
      <c r="D25" s="274">
        <v>2.1999999999999999E-2</v>
      </c>
      <c r="E25" s="248">
        <v>9210.9</v>
      </c>
      <c r="F25" s="248">
        <f t="shared" si="1"/>
        <v>45.566043926217851</v>
      </c>
      <c r="G25" s="248">
        <f t="shared" si="0"/>
        <v>419704.27399999998</v>
      </c>
    </row>
    <row r="26" spans="1:7" s="23" customFormat="1" ht="30.75" customHeight="1" x14ac:dyDescent="0.25">
      <c r="A26" s="238">
        <v>16</v>
      </c>
      <c r="B26" s="288" t="s">
        <v>4651</v>
      </c>
      <c r="C26" s="603">
        <v>457466526</v>
      </c>
      <c r="D26" s="274">
        <v>2.1999999999999999E-2</v>
      </c>
      <c r="E26" s="248">
        <v>12534.15</v>
      </c>
      <c r="F26" s="248">
        <f t="shared" si="1"/>
        <v>802.94743337202749</v>
      </c>
      <c r="G26" s="248">
        <f t="shared" si="0"/>
        <v>10064263.571999999</v>
      </c>
    </row>
    <row r="27" spans="1:7" s="23" customFormat="1" ht="30.75" customHeight="1" x14ac:dyDescent="0.25">
      <c r="A27" s="238">
        <v>17</v>
      </c>
      <c r="B27" s="288" t="s">
        <v>4652</v>
      </c>
      <c r="C27" s="603">
        <v>883196982</v>
      </c>
      <c r="D27" s="274">
        <v>2.1999999999999999E-2</v>
      </c>
      <c r="E27" s="248">
        <v>13427.7</v>
      </c>
      <c r="F27" s="248">
        <f t="shared" si="1"/>
        <v>1447.0336397149174</v>
      </c>
      <c r="G27" s="248">
        <f t="shared" si="0"/>
        <v>19430333.603999998</v>
      </c>
    </row>
    <row r="28" spans="1:7" s="23" customFormat="1" ht="30.75" customHeight="1" x14ac:dyDescent="0.25">
      <c r="A28" s="238">
        <v>18</v>
      </c>
      <c r="B28" s="288" t="s">
        <v>4653</v>
      </c>
      <c r="C28" s="603">
        <v>303109864</v>
      </c>
      <c r="D28" s="274">
        <v>2.1999999999999999E-2</v>
      </c>
      <c r="E28" s="248">
        <v>8483</v>
      </c>
      <c r="F28" s="248">
        <f t="shared" si="1"/>
        <v>786.09183166332662</v>
      </c>
      <c r="G28" s="248">
        <f t="shared" si="0"/>
        <v>6668417.0079999994</v>
      </c>
    </row>
    <row r="29" spans="1:7" s="23" customFormat="1" ht="30.75" customHeight="1" x14ac:dyDescent="0.25">
      <c r="A29" s="238">
        <v>19</v>
      </c>
      <c r="B29" s="288" t="s">
        <v>4654</v>
      </c>
      <c r="C29" s="603">
        <v>562243529</v>
      </c>
      <c r="D29" s="274">
        <v>2.1999999999999999E-2</v>
      </c>
      <c r="E29" s="248">
        <v>27286.3</v>
      </c>
      <c r="F29" s="248">
        <f t="shared" si="1"/>
        <v>453.31751237800648</v>
      </c>
      <c r="G29" s="248">
        <f t="shared" si="0"/>
        <v>12369357.637999998</v>
      </c>
    </row>
    <row r="30" spans="1:7" s="23" customFormat="1" ht="30.75" customHeight="1" x14ac:dyDescent="0.25">
      <c r="A30" s="238">
        <v>20</v>
      </c>
      <c r="B30" s="288" t="s">
        <v>4655</v>
      </c>
      <c r="C30" s="603">
        <v>140366887</v>
      </c>
      <c r="D30" s="274">
        <v>2.1999999999999999E-2</v>
      </c>
      <c r="E30" s="248">
        <v>2645.11</v>
      </c>
      <c r="F30" s="248">
        <f t="shared" si="1"/>
        <v>1167.4643073444961</v>
      </c>
      <c r="G30" s="248">
        <f t="shared" si="0"/>
        <v>3088071.5140000004</v>
      </c>
    </row>
    <row r="31" spans="1:7" s="23" customFormat="1" ht="30.75" customHeight="1" x14ac:dyDescent="0.25">
      <c r="A31" s="238">
        <v>21</v>
      </c>
      <c r="B31" s="288" t="s">
        <v>4656</v>
      </c>
      <c r="C31" s="603">
        <v>656714738</v>
      </c>
      <c r="D31" s="274">
        <v>2.1999999999999999E-2</v>
      </c>
      <c r="E31" s="248">
        <v>12949.1</v>
      </c>
      <c r="F31" s="248">
        <f t="shared" si="1"/>
        <v>1115.7319223729835</v>
      </c>
      <c r="G31" s="248">
        <f t="shared" si="0"/>
        <v>14447724.236000001</v>
      </c>
    </row>
    <row r="32" spans="1:7" s="23" customFormat="1" ht="15.75" x14ac:dyDescent="0.25">
      <c r="A32" s="238">
        <v>26</v>
      </c>
      <c r="B32" s="234" t="s">
        <v>4658</v>
      </c>
      <c r="C32" s="603">
        <v>5125153</v>
      </c>
      <c r="D32" s="274">
        <v>2.1999999999999999E-2</v>
      </c>
      <c r="E32" s="248">
        <v>1744.1</v>
      </c>
      <c r="F32" s="248">
        <f>C32*D32/E32</f>
        <v>64.648452496989847</v>
      </c>
      <c r="G32" s="248">
        <f t="shared" si="0"/>
        <v>112753.36599999998</v>
      </c>
    </row>
    <row r="33" spans="1:9" s="23" customFormat="1" ht="15.75" x14ac:dyDescent="0.25">
      <c r="A33" s="238">
        <v>31</v>
      </c>
      <c r="B33" s="234" t="s">
        <v>4657</v>
      </c>
      <c r="C33" s="603">
        <v>1894312</v>
      </c>
      <c r="D33" s="274">
        <v>2.1999999999999999E-2</v>
      </c>
      <c r="E33" s="248">
        <v>1086.8</v>
      </c>
      <c r="F33" s="248">
        <f t="shared" si="1"/>
        <v>38.346396761133597</v>
      </c>
      <c r="G33" s="248">
        <f t="shared" si="0"/>
        <v>41674.863999999994</v>
      </c>
    </row>
    <row r="34" spans="1:9" s="23" customFormat="1" ht="15" x14ac:dyDescent="0.2">
      <c r="A34" s="756"/>
      <c r="B34" s="756"/>
      <c r="C34" s="256">
        <f>SUM(C11:C33)</f>
        <v>6884325087</v>
      </c>
      <c r="G34" s="763"/>
    </row>
    <row r="35" spans="1:9" s="95" customFormat="1" ht="15" hidden="1" x14ac:dyDescent="0.2">
      <c r="B35" s="834"/>
      <c r="C35" s="834"/>
      <c r="D35" s="834"/>
      <c r="E35" s="766"/>
      <c r="G35" s="557"/>
      <c r="H35" s="95" t="s">
        <v>4663</v>
      </c>
      <c r="I35" s="95" t="s">
        <v>4664</v>
      </c>
    </row>
    <row r="36" spans="1:9" x14ac:dyDescent="0.2">
      <c r="C36" s="381">
        <f>C32+C33</f>
        <v>7019465</v>
      </c>
      <c r="F36" t="s">
        <v>4660</v>
      </c>
      <c r="G36" s="557">
        <f>G11+G14+G16+G18+G20+G22+G24+G26+G28+G30</f>
        <v>53644529.795999996</v>
      </c>
      <c r="H36" s="761">
        <f>G16</f>
        <v>14291295.59</v>
      </c>
      <c r="I36" s="642">
        <f>G36-H36</f>
        <v>39353234.206</v>
      </c>
    </row>
    <row r="37" spans="1:9" x14ac:dyDescent="0.2">
      <c r="C37" s="381">
        <f>C11+C14+C16+C18+C20+C22+C24+C26+C28+C30</f>
        <v>2438387718</v>
      </c>
      <c r="F37" t="s">
        <v>4661</v>
      </c>
      <c r="G37" s="557">
        <f>G12+G15+G17+G19+G21+G23+G25+G27+G29+G31</f>
        <v>97656193.887999997</v>
      </c>
      <c r="H37" s="761">
        <f>G17</f>
        <v>212833.038</v>
      </c>
      <c r="I37" s="642">
        <f>G37-H37</f>
        <v>97443360.849999994</v>
      </c>
    </row>
    <row r="38" spans="1:9" x14ac:dyDescent="0.2">
      <c r="C38" s="381">
        <f>C12+C13+C15+C17+C19+C21+C23+C25+C27+C29+C31</f>
        <v>4438917904</v>
      </c>
      <c r="F38" t="s">
        <v>4662</v>
      </c>
      <c r="G38" s="557">
        <f>G32+G33</f>
        <v>154428.22999999998</v>
      </c>
    </row>
  </sheetData>
  <mergeCells count="4">
    <mergeCell ref="C1:F1"/>
    <mergeCell ref="C2:F2"/>
    <mergeCell ref="B6:F6"/>
    <mergeCell ref="B35:D35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topLeftCell="A22" workbookViewId="0">
      <selection activeCell="E41" sqref="E41"/>
    </sheetView>
  </sheetViews>
  <sheetFormatPr defaultRowHeight="12.75" x14ac:dyDescent="0.2"/>
  <cols>
    <col min="1" max="1" width="21" customWidth="1"/>
    <col min="2" max="2" width="17.42578125" customWidth="1"/>
    <col min="3" max="3" width="11.28515625" customWidth="1"/>
    <col min="4" max="4" width="9" customWidth="1"/>
    <col min="5" max="5" width="10.140625" customWidth="1"/>
    <col min="7" max="7" width="12.7109375" bestFit="1" customWidth="1"/>
    <col min="13" max="13" width="12.140625" customWidth="1"/>
    <col min="14" max="14" width="10.85546875" customWidth="1"/>
    <col min="15" max="15" width="14" customWidth="1"/>
    <col min="16" max="16" width="13.140625" customWidth="1"/>
    <col min="17" max="17" width="10.85546875" customWidth="1"/>
    <col min="18" max="18" width="11.5703125" customWidth="1"/>
    <col min="19" max="19" width="16.85546875" customWidth="1"/>
  </cols>
  <sheetData>
    <row r="1" spans="1:19" ht="14.25" x14ac:dyDescent="0.2">
      <c r="A1" s="380" t="s">
        <v>4188</v>
      </c>
    </row>
    <row r="4" spans="1:19" s="468" customFormat="1" ht="63.75" x14ac:dyDescent="0.2">
      <c r="A4" s="383" t="s">
        <v>4200</v>
      </c>
      <c r="B4" s="384" t="s">
        <v>4201</v>
      </c>
      <c r="C4" s="384" t="s">
        <v>4202</v>
      </c>
      <c r="D4" s="385" t="s">
        <v>4203</v>
      </c>
      <c r="E4" s="384" t="s">
        <v>4204</v>
      </c>
      <c r="F4" s="386" t="s">
        <v>4205</v>
      </c>
      <c r="G4" s="386" t="s">
        <v>4206</v>
      </c>
      <c r="H4" s="386" t="s">
        <v>4207</v>
      </c>
      <c r="I4" s="386" t="s">
        <v>4208</v>
      </c>
      <c r="J4" s="386" t="s">
        <v>4209</v>
      </c>
      <c r="K4" s="387" t="s">
        <v>4210</v>
      </c>
      <c r="L4" s="387" t="s">
        <v>4211</v>
      </c>
      <c r="M4" s="388" t="s">
        <v>4212</v>
      </c>
      <c r="N4" s="388" t="s">
        <v>4213</v>
      </c>
      <c r="O4" s="388" t="s">
        <v>4214</v>
      </c>
      <c r="P4" s="388" t="s">
        <v>4215</v>
      </c>
      <c r="Q4" s="389" t="s">
        <v>4211</v>
      </c>
      <c r="R4" s="388" t="s">
        <v>4216</v>
      </c>
      <c r="S4" s="388" t="s">
        <v>4217</v>
      </c>
    </row>
    <row r="5" spans="1:19" x14ac:dyDescent="0.2">
      <c r="A5" s="390"/>
      <c r="B5" s="391"/>
      <c r="C5" s="391"/>
      <c r="D5" s="392"/>
      <c r="E5" s="393"/>
    </row>
    <row r="6" spans="1:19" x14ac:dyDescent="0.2">
      <c r="A6" s="394">
        <v>1</v>
      </c>
      <c r="B6" s="395">
        <v>2</v>
      </c>
      <c r="C6" s="395">
        <v>3</v>
      </c>
      <c r="D6" s="395">
        <v>4</v>
      </c>
      <c r="E6" s="394">
        <v>5</v>
      </c>
      <c r="F6" s="395">
        <v>6</v>
      </c>
      <c r="G6" s="395">
        <v>7</v>
      </c>
      <c r="H6" s="395">
        <v>8</v>
      </c>
      <c r="I6" s="394">
        <v>9</v>
      </c>
      <c r="J6" s="395">
        <v>10</v>
      </c>
      <c r="K6" s="395">
        <v>11</v>
      </c>
      <c r="L6" s="395">
        <v>12</v>
      </c>
      <c r="M6" s="394">
        <v>13</v>
      </c>
      <c r="N6" s="395">
        <v>14</v>
      </c>
      <c r="O6" s="395">
        <v>15</v>
      </c>
      <c r="P6" s="395">
        <v>16</v>
      </c>
      <c r="Q6" s="394">
        <v>17</v>
      </c>
      <c r="R6" s="395">
        <v>18</v>
      </c>
      <c r="S6" s="395">
        <v>19</v>
      </c>
    </row>
    <row r="7" spans="1:19" ht="38.25" x14ac:dyDescent="0.2">
      <c r="A7" s="396" t="s">
        <v>4218</v>
      </c>
      <c r="B7" s="397" t="s">
        <v>4219</v>
      </c>
      <c r="C7" s="397" t="s">
        <v>4220</v>
      </c>
      <c r="D7" s="398">
        <v>1</v>
      </c>
      <c r="E7" s="398">
        <v>23520</v>
      </c>
      <c r="F7" s="81"/>
      <c r="G7" s="81"/>
      <c r="H7" s="81"/>
      <c r="I7" s="81"/>
      <c r="J7" s="81">
        <f>E7/70*10</f>
        <v>3360</v>
      </c>
      <c r="K7" s="399">
        <f>E7+F7+G7+H7+I7+J7</f>
        <v>26880</v>
      </c>
      <c r="L7" s="400">
        <f>IF(D7=0,0,IF(K7&lt;19000,19000-K7,0))</f>
        <v>0</v>
      </c>
      <c r="M7" s="254">
        <f>E7*D7</f>
        <v>23520</v>
      </c>
      <c r="N7" s="254">
        <f>I7*D7</f>
        <v>0</v>
      </c>
      <c r="O7" s="254">
        <f>(F7+G7+H7)*D7</f>
        <v>0</v>
      </c>
      <c r="P7" s="254">
        <f>J7*D7</f>
        <v>3360</v>
      </c>
      <c r="Q7" s="254">
        <f>L7*D7</f>
        <v>0</v>
      </c>
      <c r="R7" s="254">
        <f t="shared" ref="R7:R39" si="0">SUM(M7:Q7)</f>
        <v>26880</v>
      </c>
      <c r="S7" s="81">
        <f>R7*12</f>
        <v>322560</v>
      </c>
    </row>
    <row r="8" spans="1:19" ht="38.25" x14ac:dyDescent="0.2">
      <c r="A8" s="396" t="s">
        <v>4221</v>
      </c>
      <c r="B8" s="397" t="s">
        <v>4219</v>
      </c>
      <c r="C8" s="397" t="s">
        <v>4220</v>
      </c>
      <c r="D8" s="398">
        <v>4</v>
      </c>
      <c r="E8" s="398">
        <v>22310</v>
      </c>
      <c r="F8" s="81"/>
      <c r="G8" s="81"/>
      <c r="H8" s="81"/>
      <c r="I8" s="81"/>
      <c r="J8" s="81">
        <f t="shared" ref="J8:J39" si="1">E8/70*10</f>
        <v>3187.1428571428573</v>
      </c>
      <c r="K8" s="399">
        <f t="shared" ref="K8:K39" si="2">E8+F8+G8+H8+I8+J8</f>
        <v>25497.142857142859</v>
      </c>
      <c r="L8" s="400">
        <f t="shared" ref="L8:L39" si="3">IF(D8=0,0,IF(K8&lt;19000,19000-K8,0))</f>
        <v>0</v>
      </c>
      <c r="M8" s="254">
        <f t="shared" ref="M8:M39" si="4">E8*D8</f>
        <v>89240</v>
      </c>
      <c r="N8" s="254">
        <f t="shared" ref="N8:N39" si="5">I8*D8</f>
        <v>0</v>
      </c>
      <c r="O8" s="254">
        <f t="shared" ref="O8:O39" si="6">(F8+G8+H8)*D8</f>
        <v>0</v>
      </c>
      <c r="P8" s="254">
        <f t="shared" ref="P8:P39" si="7">J8*D8</f>
        <v>12748.571428571429</v>
      </c>
      <c r="Q8" s="254">
        <f t="shared" ref="Q8:Q39" si="8">L8*D8</f>
        <v>0</v>
      </c>
      <c r="R8" s="254">
        <f t="shared" si="0"/>
        <v>101988.57142857143</v>
      </c>
      <c r="S8" s="81">
        <f t="shared" ref="S8:S39" si="9">R8*12</f>
        <v>1223862.8571428573</v>
      </c>
    </row>
    <row r="9" spans="1:19" ht="38.25" x14ac:dyDescent="0.2">
      <c r="A9" s="396" t="s">
        <v>4222</v>
      </c>
      <c r="B9" s="397" t="s">
        <v>4219</v>
      </c>
      <c r="C9" s="397" t="s">
        <v>4220</v>
      </c>
      <c r="D9" s="398">
        <v>2.5</v>
      </c>
      <c r="E9" s="398">
        <v>23375</v>
      </c>
      <c r="F9" s="81"/>
      <c r="G9" s="81"/>
      <c r="H9" s="81"/>
      <c r="I9" s="81"/>
      <c r="J9" s="81">
        <f t="shared" si="1"/>
        <v>3339.2857142857147</v>
      </c>
      <c r="K9" s="399">
        <f t="shared" si="2"/>
        <v>26714.285714285714</v>
      </c>
      <c r="L9" s="400">
        <f t="shared" si="3"/>
        <v>0</v>
      </c>
      <c r="M9" s="254">
        <f t="shared" si="4"/>
        <v>58437.5</v>
      </c>
      <c r="N9" s="254">
        <f t="shared" si="5"/>
        <v>0</v>
      </c>
      <c r="O9" s="254">
        <f t="shared" si="6"/>
        <v>0</v>
      </c>
      <c r="P9" s="254">
        <f t="shared" si="7"/>
        <v>8348.2142857142862</v>
      </c>
      <c r="Q9" s="254">
        <f t="shared" si="8"/>
        <v>0</v>
      </c>
      <c r="R9" s="254">
        <f t="shared" si="0"/>
        <v>66785.71428571429</v>
      </c>
      <c r="S9" s="81">
        <f t="shared" si="9"/>
        <v>801428.57142857148</v>
      </c>
    </row>
    <row r="10" spans="1:19" ht="38.25" x14ac:dyDescent="0.2">
      <c r="A10" s="396" t="s">
        <v>4223</v>
      </c>
      <c r="B10" s="397" t="s">
        <v>4224</v>
      </c>
      <c r="C10" s="397" t="s">
        <v>4220</v>
      </c>
      <c r="D10" s="398">
        <v>1</v>
      </c>
      <c r="E10" s="398">
        <v>22310</v>
      </c>
      <c r="F10" s="81"/>
      <c r="G10" s="81"/>
      <c r="H10" s="81"/>
      <c r="I10" s="81"/>
      <c r="J10" s="81">
        <f t="shared" si="1"/>
        <v>3187.1428571428573</v>
      </c>
      <c r="K10" s="399">
        <f t="shared" si="2"/>
        <v>25497.142857142859</v>
      </c>
      <c r="L10" s="400">
        <f t="shared" si="3"/>
        <v>0</v>
      </c>
      <c r="M10" s="254">
        <f t="shared" si="4"/>
        <v>22310</v>
      </c>
      <c r="N10" s="254">
        <f t="shared" si="5"/>
        <v>0</v>
      </c>
      <c r="O10" s="254">
        <f t="shared" si="6"/>
        <v>0</v>
      </c>
      <c r="P10" s="254">
        <f t="shared" si="7"/>
        <v>3187.1428571428573</v>
      </c>
      <c r="Q10" s="254">
        <f t="shared" si="8"/>
        <v>0</v>
      </c>
      <c r="R10" s="254">
        <f t="shared" si="0"/>
        <v>25497.142857142859</v>
      </c>
      <c r="S10" s="81">
        <f t="shared" si="9"/>
        <v>305965.71428571432</v>
      </c>
    </row>
    <row r="11" spans="1:19" ht="38.25" x14ac:dyDescent="0.2">
      <c r="A11" s="396" t="s">
        <v>4225</v>
      </c>
      <c r="B11" s="397" t="s">
        <v>4224</v>
      </c>
      <c r="C11" s="397" t="s">
        <v>4226</v>
      </c>
      <c r="D11" s="398">
        <v>1</v>
      </c>
      <c r="E11" s="398">
        <v>22310</v>
      </c>
      <c r="F11" s="81"/>
      <c r="G11" s="81"/>
      <c r="H11" s="81"/>
      <c r="I11" s="81"/>
      <c r="J11" s="81">
        <f t="shared" si="1"/>
        <v>3187.1428571428573</v>
      </c>
      <c r="K11" s="399">
        <f t="shared" si="2"/>
        <v>25497.142857142859</v>
      </c>
      <c r="L11" s="400">
        <f t="shared" si="3"/>
        <v>0</v>
      </c>
      <c r="M11" s="254">
        <f t="shared" si="4"/>
        <v>22310</v>
      </c>
      <c r="N11" s="254">
        <f t="shared" si="5"/>
        <v>0</v>
      </c>
      <c r="O11" s="254">
        <f t="shared" si="6"/>
        <v>0</v>
      </c>
      <c r="P11" s="254">
        <f t="shared" si="7"/>
        <v>3187.1428571428573</v>
      </c>
      <c r="Q11" s="254">
        <f t="shared" si="8"/>
        <v>0</v>
      </c>
      <c r="R11" s="254">
        <f t="shared" si="0"/>
        <v>25497.142857142859</v>
      </c>
      <c r="S11" s="81">
        <f t="shared" si="9"/>
        <v>305965.71428571432</v>
      </c>
    </row>
    <row r="12" spans="1:19" ht="51" x14ac:dyDescent="0.2">
      <c r="A12" s="396" t="s">
        <v>4227</v>
      </c>
      <c r="B12" s="397" t="s">
        <v>4228</v>
      </c>
      <c r="C12" s="397" t="s">
        <v>4229</v>
      </c>
      <c r="D12" s="398">
        <v>1.1111111111111112</v>
      </c>
      <c r="E12" s="398">
        <v>15735</v>
      </c>
      <c r="F12" s="399">
        <f>ROUND(E12*0.25,2)</f>
        <v>3933.75</v>
      </c>
      <c r="G12" s="399"/>
      <c r="H12" s="399"/>
      <c r="I12" s="399">
        <f>E12/55*15</f>
        <v>4291.363636363636</v>
      </c>
      <c r="J12" s="81">
        <f t="shared" si="1"/>
        <v>2247.8571428571427</v>
      </c>
      <c r="K12" s="399">
        <f t="shared" si="2"/>
        <v>26207.970779220777</v>
      </c>
      <c r="L12" s="400">
        <f t="shared" si="3"/>
        <v>0</v>
      </c>
      <c r="M12" s="254">
        <f t="shared" si="4"/>
        <v>17483.333333333336</v>
      </c>
      <c r="N12" s="254">
        <f t="shared" si="5"/>
        <v>4768.181818181818</v>
      </c>
      <c r="O12" s="254">
        <f>(F12+G12+H12)*D12</f>
        <v>4370.8333333333339</v>
      </c>
      <c r="P12" s="254">
        <f t="shared" si="7"/>
        <v>2497.6190476190477</v>
      </c>
      <c r="Q12" s="254">
        <f t="shared" si="8"/>
        <v>0</v>
      </c>
      <c r="R12" s="254">
        <f t="shared" si="0"/>
        <v>29119.967532467534</v>
      </c>
      <c r="S12" s="81">
        <f t="shared" si="9"/>
        <v>349439.6103896104</v>
      </c>
    </row>
    <row r="13" spans="1:19" ht="51" x14ac:dyDescent="0.2">
      <c r="A13" s="396" t="s">
        <v>4227</v>
      </c>
      <c r="B13" s="397" t="s">
        <v>4228</v>
      </c>
      <c r="C13" s="397" t="s">
        <v>4230</v>
      </c>
      <c r="D13" s="398">
        <v>0.11111111111111099</v>
      </c>
      <c r="E13" s="398">
        <v>19060</v>
      </c>
      <c r="F13" s="399">
        <f t="shared" ref="F13:F28" si="10">ROUND(E13*0.25,2)</f>
        <v>4765</v>
      </c>
      <c r="G13" s="186"/>
      <c r="H13" s="81"/>
      <c r="I13" s="399">
        <f t="shared" ref="I13:I28" si="11">E13/55*15</f>
        <v>5198.181818181818</v>
      </c>
      <c r="J13" s="81">
        <f t="shared" si="1"/>
        <v>2722.8571428571427</v>
      </c>
      <c r="K13" s="399">
        <f t="shared" si="2"/>
        <v>31746.038961038957</v>
      </c>
      <c r="L13" s="400">
        <f t="shared" si="3"/>
        <v>0</v>
      </c>
      <c r="M13" s="254">
        <f t="shared" si="4"/>
        <v>2117.7777777777756</v>
      </c>
      <c r="N13" s="254">
        <f t="shared" si="5"/>
        <v>577.57575757575694</v>
      </c>
      <c r="O13" s="254">
        <f t="shared" si="6"/>
        <v>529.44444444444389</v>
      </c>
      <c r="P13" s="254">
        <f t="shared" si="7"/>
        <v>302.53968253968219</v>
      </c>
      <c r="Q13" s="254">
        <f t="shared" si="8"/>
        <v>0</v>
      </c>
      <c r="R13" s="254">
        <f t="shared" si="0"/>
        <v>3527.3376623376589</v>
      </c>
      <c r="S13" s="81">
        <f t="shared" si="9"/>
        <v>42328.051948051907</v>
      </c>
    </row>
    <row r="14" spans="1:19" ht="51" x14ac:dyDescent="0.2">
      <c r="A14" s="396" t="s">
        <v>4227</v>
      </c>
      <c r="B14" s="397" t="s">
        <v>4228</v>
      </c>
      <c r="C14" s="397" t="s">
        <v>4231</v>
      </c>
      <c r="D14" s="398">
        <v>0.66666666666666663</v>
      </c>
      <c r="E14" s="398">
        <v>19565</v>
      </c>
      <c r="F14" s="399">
        <f t="shared" si="10"/>
        <v>4891.25</v>
      </c>
      <c r="G14" s="186"/>
      <c r="H14" s="81"/>
      <c r="I14" s="399">
        <f t="shared" si="11"/>
        <v>5335.909090909091</v>
      </c>
      <c r="J14" s="81">
        <f t="shared" si="1"/>
        <v>2795</v>
      </c>
      <c r="K14" s="399">
        <f t="shared" si="2"/>
        <v>32587.159090909092</v>
      </c>
      <c r="L14" s="400">
        <f t="shared" si="3"/>
        <v>0</v>
      </c>
      <c r="M14" s="254">
        <f t="shared" si="4"/>
        <v>13043.333333333332</v>
      </c>
      <c r="N14" s="254">
        <f t="shared" si="5"/>
        <v>3557.272727272727</v>
      </c>
      <c r="O14" s="254">
        <f t="shared" si="6"/>
        <v>3260.833333333333</v>
      </c>
      <c r="P14" s="254">
        <f t="shared" si="7"/>
        <v>1863.3333333333333</v>
      </c>
      <c r="Q14" s="254">
        <f t="shared" si="8"/>
        <v>0</v>
      </c>
      <c r="R14" s="254">
        <f t="shared" si="0"/>
        <v>21724.772727272724</v>
      </c>
      <c r="S14" s="81">
        <f t="shared" si="9"/>
        <v>260697.27272727271</v>
      </c>
    </row>
    <row r="15" spans="1:19" ht="38.25" x14ac:dyDescent="0.2">
      <c r="A15" s="396" t="s">
        <v>4227</v>
      </c>
      <c r="B15" s="397" t="s">
        <v>4232</v>
      </c>
      <c r="C15" s="397" t="s">
        <v>4229</v>
      </c>
      <c r="D15" s="398">
        <v>1.3333333333333333</v>
      </c>
      <c r="E15" s="398">
        <v>14950</v>
      </c>
      <c r="F15" s="399">
        <f t="shared" si="10"/>
        <v>3737.5</v>
      </c>
      <c r="G15" s="186"/>
      <c r="H15" s="81"/>
      <c r="I15" s="399">
        <f t="shared" si="11"/>
        <v>4077.272727272727</v>
      </c>
      <c r="J15" s="81">
        <f t="shared" si="1"/>
        <v>2135.7142857142858</v>
      </c>
      <c r="K15" s="399">
        <f t="shared" si="2"/>
        <v>24900.487012987014</v>
      </c>
      <c r="L15" s="400">
        <f t="shared" si="3"/>
        <v>0</v>
      </c>
      <c r="M15" s="254">
        <f t="shared" si="4"/>
        <v>19933.333333333332</v>
      </c>
      <c r="N15" s="254">
        <f t="shared" si="5"/>
        <v>5436.363636363636</v>
      </c>
      <c r="O15" s="254">
        <f t="shared" si="6"/>
        <v>4983.333333333333</v>
      </c>
      <c r="P15" s="254">
        <f t="shared" si="7"/>
        <v>2847.6190476190477</v>
      </c>
      <c r="Q15" s="254">
        <f t="shared" si="8"/>
        <v>0</v>
      </c>
      <c r="R15" s="254">
        <f t="shared" si="0"/>
        <v>33200.64935064935</v>
      </c>
      <c r="S15" s="81">
        <f t="shared" si="9"/>
        <v>398407.79220779217</v>
      </c>
    </row>
    <row r="16" spans="1:19" ht="38.25" x14ac:dyDescent="0.2">
      <c r="A16" s="396" t="s">
        <v>4227</v>
      </c>
      <c r="B16" s="397" t="s">
        <v>4233</v>
      </c>
      <c r="C16" s="397" t="s">
        <v>4229</v>
      </c>
      <c r="D16" s="398">
        <v>1.9722222222222221</v>
      </c>
      <c r="E16" s="398">
        <v>14460</v>
      </c>
      <c r="F16" s="399">
        <f t="shared" si="10"/>
        <v>3615</v>
      </c>
      <c r="G16" s="399"/>
      <c r="H16" s="81"/>
      <c r="I16" s="399">
        <f t="shared" si="11"/>
        <v>3943.636363636364</v>
      </c>
      <c r="J16" s="81">
        <f t="shared" si="1"/>
        <v>2065.7142857142858</v>
      </c>
      <c r="K16" s="399">
        <f t="shared" si="2"/>
        <v>24084.35064935065</v>
      </c>
      <c r="L16" s="400">
        <f t="shared" si="3"/>
        <v>0</v>
      </c>
      <c r="M16" s="254">
        <f t="shared" si="4"/>
        <v>28518.333333333332</v>
      </c>
      <c r="N16" s="254">
        <f t="shared" si="5"/>
        <v>7777.727272727273</v>
      </c>
      <c r="O16" s="254">
        <f t="shared" si="6"/>
        <v>7129.583333333333</v>
      </c>
      <c r="P16" s="254">
        <f t="shared" si="7"/>
        <v>4074.0476190476188</v>
      </c>
      <c r="Q16" s="254">
        <f t="shared" si="8"/>
        <v>0</v>
      </c>
      <c r="R16" s="254">
        <f t="shared" si="0"/>
        <v>47499.691558441562</v>
      </c>
      <c r="S16" s="81">
        <f t="shared" si="9"/>
        <v>569996.29870129877</v>
      </c>
    </row>
    <row r="17" spans="1:19" ht="38.25" x14ac:dyDescent="0.2">
      <c r="A17" s="396" t="s">
        <v>4227</v>
      </c>
      <c r="B17" s="397" t="s">
        <v>4234</v>
      </c>
      <c r="C17" s="397"/>
      <c r="D17" s="398">
        <f>95/18</f>
        <v>5.2777777777777777</v>
      </c>
      <c r="E17" s="398">
        <v>22885</v>
      </c>
      <c r="F17" s="399">
        <f t="shared" si="10"/>
        <v>5721.25</v>
      </c>
      <c r="G17" s="186"/>
      <c r="H17" s="81"/>
      <c r="I17" s="399">
        <f t="shared" si="11"/>
        <v>6241.363636363636</v>
      </c>
      <c r="J17" s="81">
        <f t="shared" si="1"/>
        <v>3269.2857142857147</v>
      </c>
      <c r="K17" s="399">
        <f t="shared" si="2"/>
        <v>38116.89935064935</v>
      </c>
      <c r="L17" s="400">
        <f t="shared" si="3"/>
        <v>0</v>
      </c>
      <c r="M17" s="254">
        <f t="shared" si="4"/>
        <v>120781.94444444444</v>
      </c>
      <c r="N17" s="254">
        <f t="shared" si="5"/>
        <v>32940.530303030304</v>
      </c>
      <c r="O17" s="254">
        <f t="shared" si="6"/>
        <v>30195.486111111109</v>
      </c>
      <c r="P17" s="254">
        <f t="shared" si="7"/>
        <v>17254.563492063495</v>
      </c>
      <c r="Q17" s="254">
        <f t="shared" si="8"/>
        <v>0</v>
      </c>
      <c r="R17" s="254">
        <f t="shared" si="0"/>
        <v>201172.52435064933</v>
      </c>
      <c r="S17" s="81">
        <f t="shared" si="9"/>
        <v>2414070.2922077919</v>
      </c>
    </row>
    <row r="18" spans="1:19" ht="38.25" x14ac:dyDescent="0.2">
      <c r="A18" s="396" t="s">
        <v>4227</v>
      </c>
      <c r="B18" s="397" t="s">
        <v>4235</v>
      </c>
      <c r="C18" s="397"/>
      <c r="D18" s="398">
        <f>312/18</f>
        <v>17.333333333333332</v>
      </c>
      <c r="E18" s="398">
        <v>24410</v>
      </c>
      <c r="F18" s="399">
        <f t="shared" si="10"/>
        <v>6102.5</v>
      </c>
      <c r="G18" s="186"/>
      <c r="H18" s="81"/>
      <c r="I18" s="399">
        <f t="shared" si="11"/>
        <v>6657.272727272727</v>
      </c>
      <c r="J18" s="81">
        <f t="shared" si="1"/>
        <v>3487.1428571428573</v>
      </c>
      <c r="K18" s="399">
        <f t="shared" si="2"/>
        <v>40656.915584415583</v>
      </c>
      <c r="L18" s="400">
        <f t="shared" si="3"/>
        <v>0</v>
      </c>
      <c r="M18" s="254">
        <f t="shared" si="4"/>
        <v>423106.66666666663</v>
      </c>
      <c r="N18" s="254">
        <f t="shared" si="5"/>
        <v>115392.72727272726</v>
      </c>
      <c r="O18" s="254">
        <f t="shared" si="6"/>
        <v>105776.66666666666</v>
      </c>
      <c r="P18" s="254">
        <f t="shared" si="7"/>
        <v>60443.809523809527</v>
      </c>
      <c r="Q18" s="254">
        <f t="shared" si="8"/>
        <v>0</v>
      </c>
      <c r="R18" s="254">
        <f t="shared" si="0"/>
        <v>704719.87012987002</v>
      </c>
      <c r="S18" s="81">
        <f t="shared" si="9"/>
        <v>8456638.4415584393</v>
      </c>
    </row>
    <row r="19" spans="1:19" ht="51" x14ac:dyDescent="0.2">
      <c r="A19" s="396" t="s">
        <v>4236</v>
      </c>
      <c r="B19" s="397" t="s">
        <v>4228</v>
      </c>
      <c r="C19" s="397" t="s">
        <v>4229</v>
      </c>
      <c r="D19" s="398"/>
      <c r="E19" s="398">
        <v>15735</v>
      </c>
      <c r="F19" s="399">
        <f t="shared" si="10"/>
        <v>3933.75</v>
      </c>
      <c r="G19" s="186"/>
      <c r="H19" s="81"/>
      <c r="I19" s="399">
        <f t="shared" si="11"/>
        <v>4291.363636363636</v>
      </c>
      <c r="J19" s="81">
        <f t="shared" si="1"/>
        <v>2247.8571428571427</v>
      </c>
      <c r="K19" s="399">
        <f t="shared" si="2"/>
        <v>26207.970779220777</v>
      </c>
      <c r="L19" s="400">
        <f t="shared" si="3"/>
        <v>0</v>
      </c>
      <c r="M19" s="254">
        <f t="shared" si="4"/>
        <v>0</v>
      </c>
      <c r="N19" s="254">
        <f t="shared" si="5"/>
        <v>0</v>
      </c>
      <c r="O19" s="254">
        <f t="shared" si="6"/>
        <v>0</v>
      </c>
      <c r="P19" s="254">
        <f t="shared" si="7"/>
        <v>0</v>
      </c>
      <c r="Q19" s="254">
        <f t="shared" si="8"/>
        <v>0</v>
      </c>
      <c r="R19" s="254">
        <f t="shared" si="0"/>
        <v>0</v>
      </c>
      <c r="S19" s="81">
        <f t="shared" si="9"/>
        <v>0</v>
      </c>
    </row>
    <row r="20" spans="1:19" ht="51" x14ac:dyDescent="0.2">
      <c r="A20" s="396" t="s">
        <v>4236</v>
      </c>
      <c r="B20" s="397" t="s">
        <v>4228</v>
      </c>
      <c r="C20" s="397" t="s">
        <v>4231</v>
      </c>
      <c r="D20" s="398"/>
      <c r="E20" s="398">
        <v>19565</v>
      </c>
      <c r="F20" s="399">
        <f t="shared" si="10"/>
        <v>4891.25</v>
      </c>
      <c r="G20" s="399"/>
      <c r="H20" s="81"/>
      <c r="I20" s="399">
        <f t="shared" si="11"/>
        <v>5335.909090909091</v>
      </c>
      <c r="J20" s="81">
        <f t="shared" si="1"/>
        <v>2795</v>
      </c>
      <c r="K20" s="399">
        <f t="shared" si="2"/>
        <v>32587.159090909092</v>
      </c>
      <c r="L20" s="400">
        <f t="shared" si="3"/>
        <v>0</v>
      </c>
      <c r="M20" s="254">
        <f t="shared" si="4"/>
        <v>0</v>
      </c>
      <c r="N20" s="254">
        <f t="shared" si="5"/>
        <v>0</v>
      </c>
      <c r="O20" s="254">
        <f t="shared" si="6"/>
        <v>0</v>
      </c>
      <c r="P20" s="254">
        <f t="shared" si="7"/>
        <v>0</v>
      </c>
      <c r="Q20" s="254">
        <f t="shared" si="8"/>
        <v>0</v>
      </c>
      <c r="R20" s="254">
        <f t="shared" si="0"/>
        <v>0</v>
      </c>
      <c r="S20" s="81">
        <f t="shared" si="9"/>
        <v>0</v>
      </c>
    </row>
    <row r="21" spans="1:19" ht="25.5" x14ac:dyDescent="0.2">
      <c r="A21" s="396" t="s">
        <v>4236</v>
      </c>
      <c r="B21" s="397" t="s">
        <v>4233</v>
      </c>
      <c r="C21" s="397" t="s">
        <v>4229</v>
      </c>
      <c r="D21" s="398">
        <f>34/18</f>
        <v>1.8888888888888888</v>
      </c>
      <c r="E21" s="398">
        <v>14460</v>
      </c>
      <c r="F21" s="399">
        <f t="shared" si="10"/>
        <v>3615</v>
      </c>
      <c r="G21" s="186"/>
      <c r="H21" s="81"/>
      <c r="I21" s="399">
        <f t="shared" si="11"/>
        <v>3943.636363636364</v>
      </c>
      <c r="J21" s="81">
        <f t="shared" si="1"/>
        <v>2065.7142857142858</v>
      </c>
      <c r="K21" s="399">
        <f t="shared" si="2"/>
        <v>24084.35064935065</v>
      </c>
      <c r="L21" s="400">
        <f t="shared" si="3"/>
        <v>0</v>
      </c>
      <c r="M21" s="254">
        <f t="shared" si="4"/>
        <v>27313.333333333332</v>
      </c>
      <c r="N21" s="254">
        <f t="shared" si="5"/>
        <v>7449.0909090909099</v>
      </c>
      <c r="O21" s="254">
        <f t="shared" si="6"/>
        <v>6828.333333333333</v>
      </c>
      <c r="P21" s="254">
        <f t="shared" si="7"/>
        <v>3901.9047619047619</v>
      </c>
      <c r="Q21" s="254">
        <f t="shared" si="8"/>
        <v>0</v>
      </c>
      <c r="R21" s="254">
        <f t="shared" si="0"/>
        <v>45492.662337662339</v>
      </c>
      <c r="S21" s="81">
        <f t="shared" si="9"/>
        <v>545911.9480519481</v>
      </c>
    </row>
    <row r="22" spans="1:19" x14ac:dyDescent="0.2">
      <c r="A22" s="396" t="s">
        <v>4236</v>
      </c>
      <c r="B22" s="397" t="s">
        <v>4234</v>
      </c>
      <c r="C22" s="397"/>
      <c r="D22" s="398">
        <v>7.36</v>
      </c>
      <c r="E22" s="398">
        <v>22885</v>
      </c>
      <c r="F22" s="399">
        <f t="shared" si="10"/>
        <v>5721.25</v>
      </c>
      <c r="G22" s="186"/>
      <c r="H22" s="81"/>
      <c r="I22" s="399">
        <f t="shared" si="11"/>
        <v>6241.363636363636</v>
      </c>
      <c r="J22" s="81">
        <f t="shared" si="1"/>
        <v>3269.2857142857147</v>
      </c>
      <c r="K22" s="399">
        <f t="shared" si="2"/>
        <v>38116.89935064935</v>
      </c>
      <c r="L22" s="400">
        <f t="shared" si="3"/>
        <v>0</v>
      </c>
      <c r="M22" s="254">
        <f t="shared" si="4"/>
        <v>168433.6</v>
      </c>
      <c r="N22" s="254">
        <f t="shared" si="5"/>
        <v>45936.436363636363</v>
      </c>
      <c r="O22" s="254">
        <f t="shared" si="6"/>
        <v>42108.4</v>
      </c>
      <c r="P22" s="254">
        <f t="shared" si="7"/>
        <v>24061.942857142862</v>
      </c>
      <c r="Q22" s="254">
        <f t="shared" si="8"/>
        <v>0</v>
      </c>
      <c r="R22" s="254">
        <f t="shared" si="0"/>
        <v>280540.37922077923</v>
      </c>
      <c r="S22" s="81">
        <f t="shared" si="9"/>
        <v>3366484.5506493505</v>
      </c>
    </row>
    <row r="23" spans="1:19" x14ac:dyDescent="0.2">
      <c r="A23" s="396" t="s">
        <v>4236</v>
      </c>
      <c r="B23" s="397" t="s">
        <v>4235</v>
      </c>
      <c r="C23" s="397"/>
      <c r="D23" s="398">
        <f>508/18</f>
        <v>28.222222222222221</v>
      </c>
      <c r="E23" s="398">
        <v>24410</v>
      </c>
      <c r="F23" s="399">
        <f t="shared" si="10"/>
        <v>6102.5</v>
      </c>
      <c r="G23" s="186"/>
      <c r="H23" s="81"/>
      <c r="I23" s="399">
        <f t="shared" si="11"/>
        <v>6657.272727272727</v>
      </c>
      <c r="J23" s="81">
        <f t="shared" si="1"/>
        <v>3487.1428571428573</v>
      </c>
      <c r="K23" s="399">
        <f t="shared" si="2"/>
        <v>40656.915584415583</v>
      </c>
      <c r="L23" s="400">
        <f t="shared" si="3"/>
        <v>0</v>
      </c>
      <c r="M23" s="254">
        <f t="shared" si="4"/>
        <v>688904.44444444438</v>
      </c>
      <c r="N23" s="254">
        <f t="shared" si="5"/>
        <v>187883.0303030303</v>
      </c>
      <c r="O23" s="254">
        <f t="shared" si="6"/>
        <v>172226.11111111109</v>
      </c>
      <c r="P23" s="254">
        <f t="shared" si="7"/>
        <v>98414.920634920636</v>
      </c>
      <c r="Q23" s="254">
        <f t="shared" si="8"/>
        <v>0</v>
      </c>
      <c r="R23" s="254">
        <f t="shared" si="0"/>
        <v>1147428.5064935065</v>
      </c>
      <c r="S23" s="81">
        <f t="shared" si="9"/>
        <v>13769142.077922078</v>
      </c>
    </row>
    <row r="24" spans="1:19" ht="51" x14ac:dyDescent="0.2">
      <c r="A24" s="396" t="s">
        <v>4237</v>
      </c>
      <c r="B24" s="397" t="s">
        <v>4228</v>
      </c>
      <c r="C24" s="397" t="s">
        <v>4231</v>
      </c>
      <c r="D24" s="398">
        <v>0.5</v>
      </c>
      <c r="E24" s="398">
        <v>19565</v>
      </c>
      <c r="F24" s="399">
        <f>ROUND(E24*0.25,2)</f>
        <v>4891.25</v>
      </c>
      <c r="G24" s="399"/>
      <c r="H24" s="81"/>
      <c r="I24" s="399">
        <f t="shared" si="11"/>
        <v>5335.909090909091</v>
      </c>
      <c r="J24" s="81">
        <f t="shared" si="1"/>
        <v>2795</v>
      </c>
      <c r="K24" s="399">
        <f t="shared" si="2"/>
        <v>32587.159090909092</v>
      </c>
      <c r="L24" s="400">
        <f t="shared" si="3"/>
        <v>0</v>
      </c>
      <c r="M24" s="254">
        <f t="shared" si="4"/>
        <v>9782.5</v>
      </c>
      <c r="N24" s="254">
        <f t="shared" si="5"/>
        <v>2667.9545454545455</v>
      </c>
      <c r="O24" s="254">
        <f t="shared" si="6"/>
        <v>2445.625</v>
      </c>
      <c r="P24" s="254">
        <f t="shared" si="7"/>
        <v>1397.5</v>
      </c>
      <c r="Q24" s="254">
        <f t="shared" si="8"/>
        <v>0</v>
      </c>
      <c r="R24" s="254">
        <f t="shared" si="0"/>
        <v>16293.579545454546</v>
      </c>
      <c r="S24" s="81">
        <f t="shared" si="9"/>
        <v>195522.95454545456</v>
      </c>
    </row>
    <row r="25" spans="1:19" ht="38.25" x14ac:dyDescent="0.2">
      <c r="A25" s="396" t="s">
        <v>4237</v>
      </c>
      <c r="B25" s="397" t="s">
        <v>4232</v>
      </c>
      <c r="C25" s="397" t="s">
        <v>4230</v>
      </c>
      <c r="D25" s="398">
        <v>0.125</v>
      </c>
      <c r="E25" s="398">
        <v>18105</v>
      </c>
      <c r="F25" s="399">
        <f t="shared" si="10"/>
        <v>4526.25</v>
      </c>
      <c r="G25" s="186"/>
      <c r="H25" s="81"/>
      <c r="I25" s="399">
        <f t="shared" si="11"/>
        <v>4937.727272727273</v>
      </c>
      <c r="J25" s="81">
        <f t="shared" si="1"/>
        <v>2586.4285714285716</v>
      </c>
      <c r="K25" s="399">
        <f t="shared" si="2"/>
        <v>30155.405844155845</v>
      </c>
      <c r="L25" s="400">
        <f t="shared" si="3"/>
        <v>0</v>
      </c>
      <c r="M25" s="254">
        <f t="shared" si="4"/>
        <v>2263.125</v>
      </c>
      <c r="N25" s="254">
        <f t="shared" si="5"/>
        <v>617.21590909090912</v>
      </c>
      <c r="O25" s="254">
        <f t="shared" si="6"/>
        <v>565.78125</v>
      </c>
      <c r="P25" s="254">
        <f t="shared" si="7"/>
        <v>323.30357142857144</v>
      </c>
      <c r="Q25" s="254">
        <f t="shared" si="8"/>
        <v>0</v>
      </c>
      <c r="R25" s="254">
        <f t="shared" si="0"/>
        <v>3769.4257305194806</v>
      </c>
      <c r="S25" s="81">
        <f t="shared" si="9"/>
        <v>45233.108766233767</v>
      </c>
    </row>
    <row r="26" spans="1:19" ht="25.5" x14ac:dyDescent="0.2">
      <c r="A26" s="396" t="s">
        <v>4237</v>
      </c>
      <c r="B26" s="397" t="s">
        <v>4233</v>
      </c>
      <c r="C26" s="397" t="s">
        <v>4229</v>
      </c>
      <c r="D26" s="398">
        <v>0.72916666666666663</v>
      </c>
      <c r="E26" s="398">
        <v>14460</v>
      </c>
      <c r="F26" s="399">
        <f t="shared" si="10"/>
        <v>3615</v>
      </c>
      <c r="G26" s="186"/>
      <c r="H26" s="81"/>
      <c r="I26" s="399">
        <f t="shared" si="11"/>
        <v>3943.636363636364</v>
      </c>
      <c r="J26" s="81">
        <f t="shared" si="1"/>
        <v>2065.7142857142858</v>
      </c>
      <c r="K26" s="399">
        <f t="shared" si="2"/>
        <v>24084.35064935065</v>
      </c>
      <c r="L26" s="400">
        <f t="shared" si="3"/>
        <v>0</v>
      </c>
      <c r="M26" s="254">
        <f t="shared" si="4"/>
        <v>10543.75</v>
      </c>
      <c r="N26" s="254">
        <f t="shared" si="5"/>
        <v>2875.568181818182</v>
      </c>
      <c r="O26" s="254">
        <f t="shared" si="6"/>
        <v>2635.9375</v>
      </c>
      <c r="P26" s="254">
        <f t="shared" si="7"/>
        <v>1506.25</v>
      </c>
      <c r="Q26" s="254">
        <f t="shared" si="8"/>
        <v>0</v>
      </c>
      <c r="R26" s="254">
        <f t="shared" si="0"/>
        <v>17561.505681818184</v>
      </c>
      <c r="S26" s="81">
        <f t="shared" si="9"/>
        <v>210738.06818181821</v>
      </c>
    </row>
    <row r="27" spans="1:19" x14ac:dyDescent="0.2">
      <c r="A27" s="396" t="s">
        <v>4237</v>
      </c>
      <c r="B27" s="397" t="s">
        <v>4234</v>
      </c>
      <c r="C27" s="397"/>
      <c r="D27" s="398">
        <v>0.125</v>
      </c>
      <c r="E27" s="398">
        <v>22885</v>
      </c>
      <c r="F27" s="399">
        <f t="shared" si="10"/>
        <v>5721.25</v>
      </c>
      <c r="G27" s="186"/>
      <c r="H27" s="81"/>
      <c r="I27" s="399">
        <f t="shared" si="11"/>
        <v>6241.363636363636</v>
      </c>
      <c r="J27" s="81">
        <f t="shared" si="1"/>
        <v>3269.2857142857147</v>
      </c>
      <c r="K27" s="399">
        <f t="shared" si="2"/>
        <v>38116.89935064935</v>
      </c>
      <c r="L27" s="400">
        <f t="shared" si="3"/>
        <v>0</v>
      </c>
      <c r="M27" s="254">
        <f t="shared" si="4"/>
        <v>2860.625</v>
      </c>
      <c r="N27" s="254">
        <f t="shared" si="5"/>
        <v>780.1704545454545</v>
      </c>
      <c r="O27" s="254">
        <f t="shared" si="6"/>
        <v>715.15625</v>
      </c>
      <c r="P27" s="254">
        <f t="shared" si="7"/>
        <v>408.66071428571433</v>
      </c>
      <c r="Q27" s="254">
        <f t="shared" si="8"/>
        <v>0</v>
      </c>
      <c r="R27" s="254">
        <f t="shared" si="0"/>
        <v>4764.6124188311687</v>
      </c>
      <c r="S27" s="81">
        <f t="shared" si="9"/>
        <v>57175.349025974021</v>
      </c>
    </row>
    <row r="28" spans="1:19" x14ac:dyDescent="0.2">
      <c r="A28" s="396" t="s">
        <v>4237</v>
      </c>
      <c r="B28" s="397" t="s">
        <v>4235</v>
      </c>
      <c r="C28" s="397"/>
      <c r="D28" s="398">
        <f>4.54166666666667+0.98</f>
        <v>5.5216666666666701</v>
      </c>
      <c r="E28" s="398">
        <v>24410</v>
      </c>
      <c r="F28" s="399">
        <f t="shared" si="10"/>
        <v>6102.5</v>
      </c>
      <c r="G28" s="399"/>
      <c r="H28" s="81"/>
      <c r="I28" s="399">
        <f t="shared" si="11"/>
        <v>6657.272727272727</v>
      </c>
      <c r="J28" s="81">
        <f t="shared" si="1"/>
        <v>3487.1428571428573</v>
      </c>
      <c r="K28" s="399">
        <f t="shared" si="2"/>
        <v>40656.915584415583</v>
      </c>
      <c r="L28" s="400">
        <f t="shared" si="3"/>
        <v>0</v>
      </c>
      <c r="M28" s="254">
        <f t="shared" si="4"/>
        <v>134783.88333333342</v>
      </c>
      <c r="N28" s="254">
        <f t="shared" si="5"/>
        <v>36759.240909090928</v>
      </c>
      <c r="O28" s="254">
        <f t="shared" si="6"/>
        <v>33695.970833333355</v>
      </c>
      <c r="P28" s="254">
        <f t="shared" si="7"/>
        <v>19254.840476190489</v>
      </c>
      <c r="Q28" s="254">
        <f t="shared" si="8"/>
        <v>0</v>
      </c>
      <c r="R28" s="254">
        <f t="shared" si="0"/>
        <v>224493.93555194821</v>
      </c>
      <c r="S28" s="81">
        <f t="shared" si="9"/>
        <v>2693927.2266233787</v>
      </c>
    </row>
    <row r="29" spans="1:19" x14ac:dyDescent="0.2">
      <c r="A29" s="397" t="s">
        <v>4238</v>
      </c>
      <c r="B29" s="397" t="s">
        <v>4239</v>
      </c>
      <c r="C29" s="397"/>
      <c r="D29" s="398">
        <v>1</v>
      </c>
      <c r="E29" s="401">
        <v>22750</v>
      </c>
      <c r="F29" s="81"/>
      <c r="G29" s="81"/>
      <c r="H29" s="81"/>
      <c r="I29" s="81"/>
      <c r="J29" s="81">
        <f t="shared" si="1"/>
        <v>3250</v>
      </c>
      <c r="K29" s="399">
        <f t="shared" si="2"/>
        <v>26000</v>
      </c>
      <c r="L29" s="400">
        <f t="shared" si="3"/>
        <v>0</v>
      </c>
      <c r="M29" s="254">
        <f t="shared" si="4"/>
        <v>22750</v>
      </c>
      <c r="N29" s="254">
        <f t="shared" si="5"/>
        <v>0</v>
      </c>
      <c r="O29" s="254">
        <f t="shared" si="6"/>
        <v>0</v>
      </c>
      <c r="P29" s="254">
        <f t="shared" si="7"/>
        <v>3250</v>
      </c>
      <c r="Q29" s="254">
        <f t="shared" si="8"/>
        <v>0</v>
      </c>
      <c r="R29" s="254">
        <f t="shared" si="0"/>
        <v>26000</v>
      </c>
      <c r="S29" s="81">
        <f t="shared" si="9"/>
        <v>312000</v>
      </c>
    </row>
    <row r="30" spans="1:19" x14ac:dyDescent="0.2">
      <c r="A30" s="397" t="s">
        <v>4240</v>
      </c>
      <c r="B30" s="397" t="s">
        <v>4239</v>
      </c>
      <c r="C30" s="397"/>
      <c r="D30" s="398">
        <v>1</v>
      </c>
      <c r="E30" s="401">
        <v>22750</v>
      </c>
      <c r="F30" s="81"/>
      <c r="G30" s="81"/>
      <c r="H30" s="81"/>
      <c r="I30" s="81"/>
      <c r="J30" s="81">
        <f t="shared" si="1"/>
        <v>3250</v>
      </c>
      <c r="K30" s="399">
        <f t="shared" si="2"/>
        <v>26000</v>
      </c>
      <c r="L30" s="400">
        <f t="shared" si="3"/>
        <v>0</v>
      </c>
      <c r="M30" s="254">
        <f t="shared" si="4"/>
        <v>22750</v>
      </c>
      <c r="N30" s="254">
        <f t="shared" si="5"/>
        <v>0</v>
      </c>
      <c r="O30" s="254">
        <f t="shared" si="6"/>
        <v>0</v>
      </c>
      <c r="P30" s="254">
        <f t="shared" si="7"/>
        <v>3250</v>
      </c>
      <c r="Q30" s="254">
        <f t="shared" si="8"/>
        <v>0</v>
      </c>
      <c r="R30" s="254">
        <f t="shared" si="0"/>
        <v>26000</v>
      </c>
      <c r="S30" s="81">
        <f t="shared" si="9"/>
        <v>312000</v>
      </c>
    </row>
    <row r="31" spans="1:19" x14ac:dyDescent="0.2">
      <c r="A31" s="397" t="s">
        <v>4241</v>
      </c>
      <c r="B31" s="397" t="s">
        <v>4242</v>
      </c>
      <c r="C31" s="397"/>
      <c r="D31" s="398">
        <v>1</v>
      </c>
      <c r="E31" s="401">
        <v>20695</v>
      </c>
      <c r="F31" s="81"/>
      <c r="G31" s="81"/>
      <c r="H31" s="81"/>
      <c r="I31" s="81"/>
      <c r="J31" s="81">
        <f t="shared" si="1"/>
        <v>2956.4285714285716</v>
      </c>
      <c r="K31" s="399">
        <f t="shared" si="2"/>
        <v>23651.428571428572</v>
      </c>
      <c r="L31" s="400">
        <f t="shared" si="3"/>
        <v>0</v>
      </c>
      <c r="M31" s="254">
        <f t="shared" si="4"/>
        <v>20695</v>
      </c>
      <c r="N31" s="254">
        <f t="shared" si="5"/>
        <v>0</v>
      </c>
      <c r="O31" s="254">
        <f t="shared" si="6"/>
        <v>0</v>
      </c>
      <c r="P31" s="254">
        <f t="shared" si="7"/>
        <v>2956.4285714285716</v>
      </c>
      <c r="Q31" s="254">
        <f t="shared" si="8"/>
        <v>0</v>
      </c>
      <c r="R31" s="254">
        <f t="shared" si="0"/>
        <v>23651.428571428572</v>
      </c>
      <c r="S31" s="81">
        <f t="shared" si="9"/>
        <v>283817.14285714284</v>
      </c>
    </row>
    <row r="32" spans="1:19" x14ac:dyDescent="0.2">
      <c r="A32" s="397" t="s">
        <v>4243</v>
      </c>
      <c r="B32" s="397" t="s">
        <v>4239</v>
      </c>
      <c r="C32" s="397"/>
      <c r="D32" s="398">
        <v>1</v>
      </c>
      <c r="E32" s="401">
        <v>12525</v>
      </c>
      <c r="F32" s="81"/>
      <c r="G32" s="81"/>
      <c r="H32" s="81"/>
      <c r="I32" s="81"/>
      <c r="J32" s="81">
        <f t="shared" si="1"/>
        <v>1789.2857142857142</v>
      </c>
      <c r="K32" s="399">
        <f t="shared" si="2"/>
        <v>14314.285714285714</v>
      </c>
      <c r="L32" s="400">
        <f t="shared" si="3"/>
        <v>4685.7142857142862</v>
      </c>
      <c r="M32" s="254">
        <f t="shared" si="4"/>
        <v>12525</v>
      </c>
      <c r="N32" s="254">
        <f t="shared" si="5"/>
        <v>0</v>
      </c>
      <c r="O32" s="254">
        <f t="shared" si="6"/>
        <v>0</v>
      </c>
      <c r="P32" s="254">
        <f t="shared" si="7"/>
        <v>1789.2857142857142</v>
      </c>
      <c r="Q32" s="254">
        <f t="shared" si="8"/>
        <v>4685.7142857142862</v>
      </c>
      <c r="R32" s="254">
        <f t="shared" si="0"/>
        <v>19000</v>
      </c>
      <c r="S32" s="81">
        <f t="shared" si="9"/>
        <v>228000</v>
      </c>
    </row>
    <row r="33" spans="1:19" ht="25.5" x14ac:dyDescent="0.2">
      <c r="A33" s="397" t="s">
        <v>4244</v>
      </c>
      <c r="B33" s="397" t="s">
        <v>4242</v>
      </c>
      <c r="C33" s="397"/>
      <c r="D33" s="398">
        <v>1</v>
      </c>
      <c r="E33" s="401">
        <v>11505</v>
      </c>
      <c r="F33" s="81"/>
      <c r="G33" s="81"/>
      <c r="H33" s="81"/>
      <c r="I33" s="81"/>
      <c r="J33" s="81">
        <f t="shared" si="1"/>
        <v>1643.5714285714287</v>
      </c>
      <c r="K33" s="399">
        <f t="shared" si="2"/>
        <v>13148.571428571429</v>
      </c>
      <c r="L33" s="400">
        <f t="shared" si="3"/>
        <v>5851.4285714285706</v>
      </c>
      <c r="M33" s="254">
        <f t="shared" si="4"/>
        <v>11505</v>
      </c>
      <c r="N33" s="254">
        <f t="shared" si="5"/>
        <v>0</v>
      </c>
      <c r="O33" s="254">
        <f t="shared" si="6"/>
        <v>0</v>
      </c>
      <c r="P33" s="254">
        <f t="shared" si="7"/>
        <v>1643.5714285714287</v>
      </c>
      <c r="Q33" s="254">
        <f t="shared" si="8"/>
        <v>5851.4285714285706</v>
      </c>
      <c r="R33" s="254">
        <f t="shared" si="0"/>
        <v>19000</v>
      </c>
      <c r="S33" s="81">
        <f t="shared" si="9"/>
        <v>228000</v>
      </c>
    </row>
    <row r="34" spans="1:19" x14ac:dyDescent="0.2">
      <c r="A34" s="397" t="s">
        <v>4245</v>
      </c>
      <c r="B34" s="397" t="s">
        <v>4246</v>
      </c>
      <c r="C34" s="397"/>
      <c r="D34" s="398">
        <v>1</v>
      </c>
      <c r="E34" s="401">
        <v>10475</v>
      </c>
      <c r="F34" s="81"/>
      <c r="G34" s="81"/>
      <c r="H34" s="81"/>
      <c r="I34" s="81"/>
      <c r="J34" s="81">
        <f t="shared" si="1"/>
        <v>1496.4285714285713</v>
      </c>
      <c r="K34" s="399">
        <f t="shared" si="2"/>
        <v>11971.428571428571</v>
      </c>
      <c r="L34" s="400">
        <f t="shared" si="3"/>
        <v>7028.5714285714294</v>
      </c>
      <c r="M34" s="254">
        <f t="shared" si="4"/>
        <v>10475</v>
      </c>
      <c r="N34" s="254">
        <f t="shared" si="5"/>
        <v>0</v>
      </c>
      <c r="O34" s="254">
        <f t="shared" si="6"/>
        <v>0</v>
      </c>
      <c r="P34" s="254">
        <f t="shared" si="7"/>
        <v>1496.4285714285713</v>
      </c>
      <c r="Q34" s="254">
        <f t="shared" si="8"/>
        <v>7028.5714285714294</v>
      </c>
      <c r="R34" s="254">
        <f t="shared" si="0"/>
        <v>19000</v>
      </c>
      <c r="S34" s="81">
        <f t="shared" si="9"/>
        <v>228000</v>
      </c>
    </row>
    <row r="35" spans="1:19" x14ac:dyDescent="0.2">
      <c r="A35" s="397" t="s">
        <v>4247</v>
      </c>
      <c r="B35" s="397"/>
      <c r="C35" s="397"/>
      <c r="D35" s="398">
        <v>3</v>
      </c>
      <c r="E35" s="452">
        <v>12192</v>
      </c>
      <c r="F35" s="81"/>
      <c r="G35" s="81"/>
      <c r="H35" s="81"/>
      <c r="I35" s="81"/>
      <c r="J35" s="81">
        <f t="shared" si="1"/>
        <v>1741.7142857142858</v>
      </c>
      <c r="K35" s="399">
        <f t="shared" si="2"/>
        <v>13933.714285714286</v>
      </c>
      <c r="L35" s="400">
        <f t="shared" si="3"/>
        <v>5066.2857142857138</v>
      </c>
      <c r="M35" s="254">
        <f t="shared" si="4"/>
        <v>36576</v>
      </c>
      <c r="N35" s="254">
        <f t="shared" si="5"/>
        <v>0</v>
      </c>
      <c r="O35" s="254">
        <f t="shared" si="6"/>
        <v>0</v>
      </c>
      <c r="P35" s="254">
        <f t="shared" si="7"/>
        <v>5225.1428571428569</v>
      </c>
      <c r="Q35" s="254">
        <f t="shared" si="8"/>
        <v>15198.857142857141</v>
      </c>
      <c r="R35" s="254">
        <f t="shared" si="0"/>
        <v>57000</v>
      </c>
      <c r="S35" s="81">
        <f t="shared" si="9"/>
        <v>684000</v>
      </c>
    </row>
    <row r="36" spans="1:19" ht="25.5" x14ac:dyDescent="0.2">
      <c r="A36" s="397" t="s">
        <v>4248</v>
      </c>
      <c r="B36" s="397" t="s">
        <v>4249</v>
      </c>
      <c r="C36" s="397"/>
      <c r="D36" s="398">
        <v>1</v>
      </c>
      <c r="E36" s="401">
        <v>8809</v>
      </c>
      <c r="F36" s="81"/>
      <c r="G36" s="81"/>
      <c r="H36" s="81"/>
      <c r="I36" s="81"/>
      <c r="J36" s="81">
        <f t="shared" si="1"/>
        <v>1258.4285714285713</v>
      </c>
      <c r="K36" s="399">
        <f t="shared" si="2"/>
        <v>10067.428571428571</v>
      </c>
      <c r="L36" s="400">
        <f t="shared" si="3"/>
        <v>8932.5714285714294</v>
      </c>
      <c r="M36" s="254">
        <f t="shared" si="4"/>
        <v>8809</v>
      </c>
      <c r="N36" s="254">
        <f t="shared" si="5"/>
        <v>0</v>
      </c>
      <c r="O36" s="254">
        <f t="shared" si="6"/>
        <v>0</v>
      </c>
      <c r="P36" s="254">
        <f t="shared" si="7"/>
        <v>1258.4285714285713</v>
      </c>
      <c r="Q36" s="254">
        <f t="shared" si="8"/>
        <v>8932.5714285714294</v>
      </c>
      <c r="R36" s="254">
        <f t="shared" si="0"/>
        <v>19000</v>
      </c>
      <c r="S36" s="81">
        <f t="shared" si="9"/>
        <v>228000</v>
      </c>
    </row>
    <row r="37" spans="1:19" x14ac:dyDescent="0.2">
      <c r="A37" s="397" t="s">
        <v>4250</v>
      </c>
      <c r="B37" s="397" t="s">
        <v>4251</v>
      </c>
      <c r="C37" s="397"/>
      <c r="D37" s="398">
        <v>1.25</v>
      </c>
      <c r="E37" s="401">
        <v>7706</v>
      </c>
      <c r="F37" s="81"/>
      <c r="G37" s="81"/>
      <c r="H37" s="81"/>
      <c r="I37" s="81"/>
      <c r="J37" s="81">
        <f t="shared" si="1"/>
        <v>1100.8571428571429</v>
      </c>
      <c r="K37" s="399">
        <f t="shared" si="2"/>
        <v>8806.8571428571431</v>
      </c>
      <c r="L37" s="400">
        <f t="shared" si="3"/>
        <v>10193.142857142857</v>
      </c>
      <c r="M37" s="254">
        <f t="shared" si="4"/>
        <v>9632.5</v>
      </c>
      <c r="N37" s="254">
        <f t="shared" si="5"/>
        <v>0</v>
      </c>
      <c r="O37" s="254">
        <f t="shared" si="6"/>
        <v>0</v>
      </c>
      <c r="P37" s="254">
        <f t="shared" si="7"/>
        <v>1376.0714285714287</v>
      </c>
      <c r="Q37" s="254">
        <f t="shared" si="8"/>
        <v>12741.428571428571</v>
      </c>
      <c r="R37" s="254">
        <f t="shared" si="0"/>
        <v>23750</v>
      </c>
      <c r="S37" s="81">
        <f t="shared" si="9"/>
        <v>285000</v>
      </c>
    </row>
    <row r="38" spans="1:19" x14ac:dyDescent="0.2">
      <c r="A38" s="397" t="s">
        <v>4252</v>
      </c>
      <c r="B38" s="397" t="s">
        <v>4251</v>
      </c>
      <c r="C38" s="397"/>
      <c r="D38" s="398">
        <v>2</v>
      </c>
      <c r="E38" s="401">
        <v>7706</v>
      </c>
      <c r="F38" s="81"/>
      <c r="G38" s="81"/>
      <c r="H38" s="81"/>
      <c r="I38" s="81"/>
      <c r="J38" s="81">
        <f t="shared" si="1"/>
        <v>1100.8571428571429</v>
      </c>
      <c r="K38" s="399">
        <f t="shared" si="2"/>
        <v>8806.8571428571431</v>
      </c>
      <c r="L38" s="400">
        <f t="shared" si="3"/>
        <v>10193.142857142857</v>
      </c>
      <c r="M38" s="254">
        <f t="shared" si="4"/>
        <v>15412</v>
      </c>
      <c r="N38" s="254">
        <f t="shared" si="5"/>
        <v>0</v>
      </c>
      <c r="O38" s="254">
        <f t="shared" si="6"/>
        <v>0</v>
      </c>
      <c r="P38" s="254">
        <f t="shared" si="7"/>
        <v>2201.7142857142858</v>
      </c>
      <c r="Q38" s="254">
        <f t="shared" si="8"/>
        <v>20386.285714285714</v>
      </c>
      <c r="R38" s="254">
        <f t="shared" si="0"/>
        <v>38000</v>
      </c>
      <c r="S38" s="81">
        <f t="shared" si="9"/>
        <v>456000</v>
      </c>
    </row>
    <row r="39" spans="1:19" ht="25.5" x14ac:dyDescent="0.2">
      <c r="A39" s="384" t="s">
        <v>4253</v>
      </c>
      <c r="B39" s="384" t="s">
        <v>4251</v>
      </c>
      <c r="C39" s="384"/>
      <c r="D39" s="385">
        <v>3.25</v>
      </c>
      <c r="E39" s="402">
        <v>7706</v>
      </c>
      <c r="F39" s="403"/>
      <c r="G39" s="403"/>
      <c r="H39" s="403"/>
      <c r="I39" s="403"/>
      <c r="J39" s="81">
        <f t="shared" si="1"/>
        <v>1100.8571428571429</v>
      </c>
      <c r="K39" s="404">
        <f t="shared" si="2"/>
        <v>8806.8571428571431</v>
      </c>
      <c r="L39" s="405">
        <f t="shared" si="3"/>
        <v>10193.142857142857</v>
      </c>
      <c r="M39" s="406">
        <f t="shared" si="4"/>
        <v>25044.5</v>
      </c>
      <c r="N39" s="406">
        <f t="shared" si="5"/>
        <v>0</v>
      </c>
      <c r="O39" s="406">
        <f t="shared" si="6"/>
        <v>0</v>
      </c>
      <c r="P39" s="406">
        <f t="shared" si="7"/>
        <v>3577.7857142857142</v>
      </c>
      <c r="Q39" s="406">
        <f t="shared" si="8"/>
        <v>33127.714285714283</v>
      </c>
      <c r="R39" s="406">
        <f t="shared" si="0"/>
        <v>61750</v>
      </c>
      <c r="S39" s="81">
        <f t="shared" si="9"/>
        <v>741000</v>
      </c>
    </row>
    <row r="40" spans="1:19" x14ac:dyDescent="0.2">
      <c r="A40" s="396" t="s">
        <v>4254</v>
      </c>
      <c r="B40" s="81"/>
      <c r="C40" s="81"/>
      <c r="D40" s="186">
        <f>SUM(D7:D39)</f>
        <v>98.277500000000018</v>
      </c>
      <c r="E40" s="81"/>
      <c r="F40" s="81"/>
      <c r="G40" s="81"/>
      <c r="H40" s="81"/>
      <c r="I40" s="81"/>
      <c r="J40" s="81"/>
      <c r="K40" s="81"/>
      <c r="L40" s="81"/>
      <c r="M40" s="186">
        <f>SUM(M7:M39)</f>
        <v>2081861.4833333334</v>
      </c>
      <c r="N40" s="186">
        <f t="shared" ref="N40:S40" si="12">SUM(N7:N39)</f>
        <v>455419.08636363636</v>
      </c>
      <c r="O40" s="186">
        <f t="shared" si="12"/>
        <v>417467.49583333335</v>
      </c>
      <c r="P40" s="186">
        <f t="shared" si="12"/>
        <v>297408.78333333338</v>
      </c>
      <c r="Q40" s="186">
        <f t="shared" si="12"/>
        <v>107952.57142857142</v>
      </c>
      <c r="R40" s="186">
        <f t="shared" si="12"/>
        <v>3360109.4202922084</v>
      </c>
      <c r="S40" s="186">
        <f t="shared" si="12"/>
        <v>40321313.043506488</v>
      </c>
    </row>
    <row r="41" spans="1:19" x14ac:dyDescent="0.2">
      <c r="D41" s="165"/>
    </row>
    <row r="42" spans="1:19" x14ac:dyDescent="0.2">
      <c r="A42" s="804" t="s">
        <v>4255</v>
      </c>
      <c r="B42" s="804"/>
      <c r="C42" s="407" t="s">
        <v>4050</v>
      </c>
      <c r="D42" s="408"/>
      <c r="E42" s="408"/>
      <c r="F42" s="408"/>
      <c r="G42" t="s">
        <v>4266</v>
      </c>
      <c r="H42" t="s">
        <v>4267</v>
      </c>
      <c r="S42" s="428">
        <f>O40*12</f>
        <v>5009609.95</v>
      </c>
    </row>
    <row r="43" spans="1:19" x14ac:dyDescent="0.2">
      <c r="A43" s="804"/>
      <c r="B43" s="804"/>
      <c r="C43" s="407" t="s">
        <v>4256</v>
      </c>
      <c r="D43" s="407" t="s">
        <v>4257</v>
      </c>
      <c r="E43" s="407" t="s">
        <v>4258</v>
      </c>
      <c r="F43" s="407" t="s">
        <v>4259</v>
      </c>
    </row>
    <row r="44" spans="1:19" x14ac:dyDescent="0.2">
      <c r="A44" s="805" t="s">
        <v>4261</v>
      </c>
      <c r="B44" s="806"/>
      <c r="C44" s="408">
        <v>130</v>
      </c>
      <c r="D44" s="408">
        <v>1719</v>
      </c>
      <c r="E44" s="408">
        <v>1191.75</v>
      </c>
      <c r="F44" s="409">
        <v>5336</v>
      </c>
      <c r="G44">
        <f>F44/D44</f>
        <v>3.1041303083187901</v>
      </c>
    </row>
    <row r="45" spans="1:19" x14ac:dyDescent="0.2">
      <c r="A45" s="807" t="s">
        <v>4260</v>
      </c>
      <c r="B45" s="807"/>
      <c r="C45" s="408">
        <v>49</v>
      </c>
      <c r="D45" s="408">
        <v>678</v>
      </c>
      <c r="E45" s="408">
        <v>97.75</v>
      </c>
      <c r="F45" s="409">
        <v>1344</v>
      </c>
      <c r="G45">
        <f>F45/D45</f>
        <v>1.9823008849557522</v>
      </c>
    </row>
    <row r="46" spans="1:19" x14ac:dyDescent="0.2">
      <c r="A46" s="808" t="s">
        <v>4265</v>
      </c>
      <c r="B46" s="808"/>
      <c r="C46" s="413">
        <f>SUM(C44:C45)</f>
        <v>179</v>
      </c>
      <c r="D46" s="413">
        <f t="shared" ref="D46:F46" si="13">SUM(D44:D45)</f>
        <v>2397</v>
      </c>
      <c r="E46" s="413">
        <f t="shared" si="13"/>
        <v>1289.5</v>
      </c>
      <c r="F46" s="413">
        <f t="shared" si="13"/>
        <v>6680</v>
      </c>
      <c r="G46" s="381">
        <f>S40</f>
        <v>40321313.043506488</v>
      </c>
      <c r="H46" s="414">
        <f>G46/D46</f>
        <v>16821.574069047347</v>
      </c>
    </row>
  </sheetData>
  <mergeCells count="4">
    <mergeCell ref="A42:B43"/>
    <mergeCell ref="A44:B44"/>
    <mergeCell ref="A45:B45"/>
    <mergeCell ref="A46:B4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44"/>
  <sheetViews>
    <sheetView workbookViewId="0">
      <selection activeCell="G1" sqref="G1:J1"/>
    </sheetView>
  </sheetViews>
  <sheetFormatPr defaultRowHeight="12.75" x14ac:dyDescent="0.2"/>
  <cols>
    <col min="1" max="1" width="4.28515625" style="95" customWidth="1"/>
    <col min="2" max="2" width="37.85546875" style="95" customWidth="1"/>
    <col min="3" max="3" width="6.140625" style="95" customWidth="1"/>
    <col min="4" max="4" width="11.140625" style="95" customWidth="1"/>
    <col min="5" max="5" width="10.140625" style="95" customWidth="1"/>
    <col min="6" max="7" width="11.7109375" style="95" customWidth="1"/>
    <col min="8" max="8" width="10.140625" style="95" customWidth="1"/>
    <col min="9" max="9" width="10.140625" style="555" bestFit="1" customWidth="1"/>
    <col min="10" max="10" width="10.5703125" style="555" bestFit="1" customWidth="1"/>
    <col min="11" max="11" width="0" style="95" hidden="1" customWidth="1"/>
    <col min="12" max="12" width="9.140625" style="95"/>
    <col min="13" max="13" width="25.140625" style="95" customWidth="1"/>
    <col min="14" max="16384" width="9.140625" style="95"/>
  </cols>
  <sheetData>
    <row r="1" spans="1:10" s="297" customFormat="1" ht="15" x14ac:dyDescent="0.2">
      <c r="B1" s="858"/>
      <c r="C1" s="858"/>
      <c r="D1" s="858"/>
      <c r="E1" s="858"/>
      <c r="F1" s="858"/>
      <c r="G1" s="796" t="s">
        <v>4722</v>
      </c>
      <c r="H1" s="796"/>
      <c r="I1" s="796"/>
      <c r="J1" s="796"/>
    </row>
    <row r="2" spans="1:10" s="297" customFormat="1" ht="15" x14ac:dyDescent="0.2">
      <c r="B2" s="858"/>
      <c r="C2" s="858"/>
      <c r="D2" s="858"/>
      <c r="E2" s="858"/>
      <c r="F2" s="858"/>
      <c r="G2" s="796" t="s">
        <v>4586</v>
      </c>
      <c r="H2" s="796"/>
      <c r="I2" s="796"/>
      <c r="J2" s="796"/>
    </row>
    <row r="3" spans="1:10" s="297" customFormat="1" ht="15" x14ac:dyDescent="0.2">
      <c r="I3" s="612"/>
      <c r="J3" s="612"/>
    </row>
    <row r="4" spans="1:10" s="297" customFormat="1" ht="15" x14ac:dyDescent="0.2">
      <c r="I4" s="612"/>
      <c r="J4" s="612"/>
    </row>
    <row r="5" spans="1:10" s="297" customFormat="1" ht="15" x14ac:dyDescent="0.2">
      <c r="I5" s="612"/>
      <c r="J5" s="612"/>
    </row>
    <row r="6" spans="1:10" ht="15.75" x14ac:dyDescent="0.25">
      <c r="A6" s="10"/>
      <c r="B6" s="10"/>
      <c r="C6" s="10"/>
      <c r="D6" s="10"/>
      <c r="E6" s="10"/>
    </row>
    <row r="7" spans="1:10" ht="37.9" customHeight="1" x14ac:dyDescent="0.2">
      <c r="A7" s="11"/>
      <c r="B7" s="859" t="str">
        <f>'Прилож. нормативы'!C91</f>
        <v>Норматив стоимости оборудования в общеобразовательных учреждениях без учета зданий, используемых для реализации программ дошкольного образования</v>
      </c>
      <c r="C7" s="859"/>
      <c r="D7" s="859"/>
      <c r="E7" s="859"/>
      <c r="F7" s="859"/>
      <c r="G7" s="859"/>
      <c r="H7" s="859"/>
      <c r="I7" s="860"/>
      <c r="J7" s="860"/>
    </row>
    <row r="8" spans="1:10" x14ac:dyDescent="0.2">
      <c r="A8" s="12"/>
      <c r="B8" s="12"/>
      <c r="C8" s="12"/>
      <c r="D8" s="12"/>
      <c r="E8" s="12"/>
    </row>
    <row r="9" spans="1:10" s="614" customFormat="1" ht="43.15" customHeight="1" x14ac:dyDescent="0.2">
      <c r="A9" s="594" t="s">
        <v>4105</v>
      </c>
      <c r="B9" s="594" t="s">
        <v>4162</v>
      </c>
      <c r="C9" s="594" t="s">
        <v>4161</v>
      </c>
      <c r="D9" s="594" t="s">
        <v>3738</v>
      </c>
      <c r="E9" s="594" t="s">
        <v>3734</v>
      </c>
      <c r="F9" s="593" t="s">
        <v>3736</v>
      </c>
      <c r="G9" s="595" t="s">
        <v>4369</v>
      </c>
      <c r="H9" s="595" t="s">
        <v>4580</v>
      </c>
      <c r="I9" s="595" t="s">
        <v>4360</v>
      </c>
      <c r="J9" s="613" t="s">
        <v>3836</v>
      </c>
    </row>
    <row r="10" spans="1:10" ht="19.899999999999999" customHeight="1" x14ac:dyDescent="0.2">
      <c r="A10" s="855" t="s">
        <v>140</v>
      </c>
      <c r="B10" s="856"/>
      <c r="C10" s="856"/>
      <c r="D10" s="856"/>
      <c r="E10" s="856"/>
      <c r="F10" s="856"/>
      <c r="G10" s="856"/>
      <c r="H10" s="856"/>
      <c r="I10" s="856"/>
      <c r="J10" s="857"/>
    </row>
    <row r="11" spans="1:10" ht="23.25" customHeight="1" x14ac:dyDescent="0.2">
      <c r="A11" s="137">
        <v>1</v>
      </c>
      <c r="B11" s="137" t="s">
        <v>4327</v>
      </c>
      <c r="C11" s="79">
        <v>1</v>
      </c>
      <c r="D11" s="79">
        <v>5</v>
      </c>
      <c r="E11" s="496">
        <f t="shared" ref="E11" si="0">C11*(1/D11)</f>
        <v>0.2</v>
      </c>
      <c r="F11" s="498">
        <f>E11/26</f>
        <v>7.6923076923076927E-3</v>
      </c>
      <c r="G11" s="399">
        <v>16000</v>
      </c>
      <c r="H11" s="399">
        <v>1</v>
      </c>
      <c r="I11" s="399">
        <f>G11*H11</f>
        <v>16000</v>
      </c>
      <c r="J11" s="499">
        <f t="shared" ref="J11" si="1">F11*I11</f>
        <v>123.07692307692308</v>
      </c>
    </row>
    <row r="12" spans="1:10" ht="24.6" customHeight="1" x14ac:dyDescent="0.2">
      <c r="A12" s="137">
        <v>2</v>
      </c>
      <c r="B12" s="137" t="s">
        <v>4328</v>
      </c>
      <c r="C12" s="79">
        <v>1</v>
      </c>
      <c r="D12" s="79">
        <v>7</v>
      </c>
      <c r="E12" s="496">
        <f t="shared" ref="E12:E22" si="2">C12*(1/D12)</f>
        <v>0.14285714285714285</v>
      </c>
      <c r="F12" s="498">
        <f t="shared" ref="F12:F38" si="3">E12/26</f>
        <v>5.4945054945054941E-3</v>
      </c>
      <c r="G12" s="399">
        <v>5000</v>
      </c>
      <c r="H12" s="399">
        <v>1</v>
      </c>
      <c r="I12" s="399">
        <f>G12*
H12</f>
        <v>5000</v>
      </c>
      <c r="J12" s="499">
        <f t="shared" ref="J12:J42" si="4">F12*I12</f>
        <v>27.472527472527471</v>
      </c>
    </row>
    <row r="13" spans="1:10" ht="24.6" customHeight="1" x14ac:dyDescent="0.2">
      <c r="A13" s="137">
        <v>3</v>
      </c>
      <c r="B13" s="137" t="s">
        <v>1073</v>
      </c>
      <c r="C13" s="79">
        <v>1</v>
      </c>
      <c r="D13" s="79">
        <v>7</v>
      </c>
      <c r="E13" s="496">
        <f t="shared" si="2"/>
        <v>0.14285714285714285</v>
      </c>
      <c r="F13" s="498">
        <f t="shared" si="3"/>
        <v>5.4945054945054941E-3</v>
      </c>
      <c r="G13" s="399">
        <v>1523</v>
      </c>
      <c r="H13" s="399">
        <v>1</v>
      </c>
      <c r="I13" s="399">
        <f t="shared" ref="I13:I22" si="5">G13*H13</f>
        <v>1523</v>
      </c>
      <c r="J13" s="499">
        <f t="shared" si="4"/>
        <v>8.3681318681318668</v>
      </c>
    </row>
    <row r="14" spans="1:10" ht="24.6" customHeight="1" x14ac:dyDescent="0.2">
      <c r="A14" s="137">
        <v>4</v>
      </c>
      <c r="B14" s="137" t="s">
        <v>1075</v>
      </c>
      <c r="C14" s="79">
        <v>1</v>
      </c>
      <c r="D14" s="79">
        <v>7</v>
      </c>
      <c r="E14" s="496">
        <f t="shared" si="2"/>
        <v>0.14285714285714285</v>
      </c>
      <c r="F14" s="498">
        <f t="shared" si="3"/>
        <v>5.4945054945054941E-3</v>
      </c>
      <c r="G14" s="399">
        <v>1511.64</v>
      </c>
      <c r="H14" s="399">
        <v>1</v>
      </c>
      <c r="I14" s="399">
        <f t="shared" si="5"/>
        <v>1511.64</v>
      </c>
      <c r="J14" s="499">
        <f t="shared" si="4"/>
        <v>8.305714285714286</v>
      </c>
    </row>
    <row r="15" spans="1:10" ht="33.6" customHeight="1" x14ac:dyDescent="0.2">
      <c r="A15" s="137">
        <v>5</v>
      </c>
      <c r="B15" s="137" t="s">
        <v>1369</v>
      </c>
      <c r="C15" s="79">
        <v>13</v>
      </c>
      <c r="D15" s="79">
        <v>7</v>
      </c>
      <c r="E15" s="496">
        <f t="shared" si="2"/>
        <v>1.857142857142857</v>
      </c>
      <c r="F15" s="498">
        <f t="shared" si="3"/>
        <v>7.1428571428571425E-2</v>
      </c>
      <c r="G15" s="399">
        <v>1803.36</v>
      </c>
      <c r="H15" s="399">
        <v>1</v>
      </c>
      <c r="I15" s="399">
        <f t="shared" si="5"/>
        <v>1803.36</v>
      </c>
      <c r="J15" s="499">
        <f t="shared" si="4"/>
        <v>128.81142857142856</v>
      </c>
    </row>
    <row r="16" spans="1:10" ht="34.5" customHeight="1" x14ac:dyDescent="0.2">
      <c r="A16" s="137">
        <v>6</v>
      </c>
      <c r="B16" s="137" t="s">
        <v>1371</v>
      </c>
      <c r="C16" s="79">
        <v>26</v>
      </c>
      <c r="D16" s="79">
        <v>7</v>
      </c>
      <c r="E16" s="496">
        <f t="shared" si="2"/>
        <v>3.714285714285714</v>
      </c>
      <c r="F16" s="498">
        <f t="shared" si="3"/>
        <v>0.14285714285714285</v>
      </c>
      <c r="G16" s="399">
        <v>1750</v>
      </c>
      <c r="H16" s="399">
        <v>1</v>
      </c>
      <c r="I16" s="399">
        <f t="shared" si="5"/>
        <v>1750</v>
      </c>
      <c r="J16" s="499">
        <f t="shared" si="4"/>
        <v>250</v>
      </c>
    </row>
    <row r="17" spans="1:11" ht="36" customHeight="1" x14ac:dyDescent="0.2">
      <c r="A17" s="137">
        <v>7</v>
      </c>
      <c r="B17" s="137" t="s">
        <v>1081</v>
      </c>
      <c r="C17" s="79">
        <v>2</v>
      </c>
      <c r="D17" s="79">
        <v>7</v>
      </c>
      <c r="E17" s="496">
        <f t="shared" si="2"/>
        <v>0.2857142857142857</v>
      </c>
      <c r="F17" s="498">
        <f t="shared" si="3"/>
        <v>1.0989010989010988E-2</v>
      </c>
      <c r="G17" s="399">
        <v>7000</v>
      </c>
      <c r="H17" s="399">
        <v>1</v>
      </c>
      <c r="I17" s="399">
        <f t="shared" si="5"/>
        <v>7000</v>
      </c>
      <c r="J17" s="499">
        <f t="shared" si="4"/>
        <v>76.92307692307692</v>
      </c>
    </row>
    <row r="18" spans="1:11" ht="47.25" customHeight="1" x14ac:dyDescent="0.2">
      <c r="A18" s="137">
        <v>8</v>
      </c>
      <c r="B18" s="137" t="s">
        <v>1083</v>
      </c>
      <c r="C18" s="79">
        <v>1</v>
      </c>
      <c r="D18" s="79">
        <v>7</v>
      </c>
      <c r="E18" s="496">
        <f t="shared" si="2"/>
        <v>0.14285714285714285</v>
      </c>
      <c r="F18" s="498">
        <f t="shared" si="3"/>
        <v>5.4945054945054941E-3</v>
      </c>
      <c r="G18" s="399">
        <v>17400</v>
      </c>
      <c r="H18" s="399">
        <v>1</v>
      </c>
      <c r="I18" s="399">
        <f t="shared" si="5"/>
        <v>17400</v>
      </c>
      <c r="J18" s="499">
        <f t="shared" si="4"/>
        <v>95.604395604395592</v>
      </c>
    </row>
    <row r="19" spans="1:11" ht="24.6" customHeight="1" x14ac:dyDescent="0.2">
      <c r="A19" s="137">
        <v>9</v>
      </c>
      <c r="B19" s="137" t="s">
        <v>1088</v>
      </c>
      <c r="C19" s="79">
        <v>1</v>
      </c>
      <c r="D19" s="79">
        <v>7</v>
      </c>
      <c r="E19" s="496">
        <f t="shared" si="2"/>
        <v>0.14285714285714285</v>
      </c>
      <c r="F19" s="498">
        <f t="shared" si="3"/>
        <v>5.4945054945054941E-3</v>
      </c>
      <c r="G19" s="399">
        <v>2500</v>
      </c>
      <c r="H19" s="399">
        <v>1</v>
      </c>
      <c r="I19" s="399">
        <f t="shared" si="5"/>
        <v>2500</v>
      </c>
      <c r="J19" s="499">
        <f t="shared" si="4"/>
        <v>13.736263736263735</v>
      </c>
    </row>
    <row r="20" spans="1:11" ht="39" customHeight="1" x14ac:dyDescent="0.2">
      <c r="A20" s="137">
        <v>10</v>
      </c>
      <c r="B20" s="137" t="s">
        <v>1376</v>
      </c>
      <c r="C20" s="79">
        <v>1</v>
      </c>
      <c r="D20" s="79">
        <v>7</v>
      </c>
      <c r="E20" s="496">
        <f t="shared" si="2"/>
        <v>0.14285714285714285</v>
      </c>
      <c r="F20" s="498">
        <f t="shared" si="3"/>
        <v>5.4945054945054941E-3</v>
      </c>
      <c r="G20" s="399">
        <v>31840</v>
      </c>
      <c r="H20" s="399">
        <v>1</v>
      </c>
      <c r="I20" s="399">
        <f t="shared" si="5"/>
        <v>31840</v>
      </c>
      <c r="J20" s="499">
        <f t="shared" si="4"/>
        <v>174.94505494505492</v>
      </c>
    </row>
    <row r="21" spans="1:11" ht="36.75" customHeight="1" x14ac:dyDescent="0.2">
      <c r="A21" s="137">
        <v>11</v>
      </c>
      <c r="B21" s="137" t="s">
        <v>1275</v>
      </c>
      <c r="C21" s="79">
        <v>1</v>
      </c>
      <c r="D21" s="79">
        <v>7</v>
      </c>
      <c r="E21" s="496">
        <f t="shared" si="2"/>
        <v>0.14285714285714285</v>
      </c>
      <c r="F21" s="498">
        <f t="shared" si="3"/>
        <v>5.4945054945054941E-3</v>
      </c>
      <c r="G21" s="399">
        <v>5515</v>
      </c>
      <c r="H21" s="399">
        <v>1</v>
      </c>
      <c r="I21" s="399">
        <f t="shared" si="5"/>
        <v>5515</v>
      </c>
      <c r="J21" s="499">
        <f t="shared" si="4"/>
        <v>30.302197802197799</v>
      </c>
    </row>
    <row r="22" spans="1:11" ht="36" customHeight="1" x14ac:dyDescent="0.2">
      <c r="A22" s="137">
        <v>12</v>
      </c>
      <c r="B22" s="137" t="s">
        <v>1086</v>
      </c>
      <c r="C22" s="79">
        <v>1</v>
      </c>
      <c r="D22" s="79">
        <v>7</v>
      </c>
      <c r="E22" s="496">
        <f t="shared" si="2"/>
        <v>0.14285714285714285</v>
      </c>
      <c r="F22" s="498">
        <f t="shared" si="3"/>
        <v>5.4945054945054941E-3</v>
      </c>
      <c r="G22" s="399">
        <v>3450</v>
      </c>
      <c r="H22" s="399">
        <v>1</v>
      </c>
      <c r="I22" s="399">
        <f t="shared" si="5"/>
        <v>3450</v>
      </c>
      <c r="J22" s="499">
        <f t="shared" si="4"/>
        <v>18.956043956043956</v>
      </c>
    </row>
    <row r="23" spans="1:11" ht="36" customHeight="1" x14ac:dyDescent="0.2">
      <c r="A23" s="137">
        <v>13</v>
      </c>
      <c r="B23" s="137" t="s">
        <v>4329</v>
      </c>
      <c r="C23" s="79">
        <v>2</v>
      </c>
      <c r="D23" s="79">
        <v>7</v>
      </c>
      <c r="E23" s="496">
        <f>C23*(1/D23)</f>
        <v>0.2857142857142857</v>
      </c>
      <c r="F23" s="498">
        <f>E23/26</f>
        <v>1.0989010989010988E-2</v>
      </c>
      <c r="G23" s="399">
        <v>9000</v>
      </c>
      <c r="H23" s="399">
        <v>1</v>
      </c>
      <c r="I23" s="399">
        <f>G23*H23</f>
        <v>9000</v>
      </c>
      <c r="J23" s="499">
        <f>F23*I23</f>
        <v>98.901098901098891</v>
      </c>
    </row>
    <row r="24" spans="1:11" ht="36" customHeight="1" x14ac:dyDescent="0.2">
      <c r="A24" s="137">
        <v>14</v>
      </c>
      <c r="B24" s="137" t="s">
        <v>4330</v>
      </c>
      <c r="C24" s="79">
        <v>13</v>
      </c>
      <c r="D24" s="79">
        <v>7</v>
      </c>
      <c r="E24" s="496">
        <f t="shared" ref="E24" si="6">C24*(1/D24)</f>
        <v>1.857142857142857</v>
      </c>
      <c r="F24" s="498">
        <f t="shared" ref="F24" si="7">E24/26</f>
        <v>7.1428571428571425E-2</v>
      </c>
      <c r="G24" s="399">
        <v>4000</v>
      </c>
      <c r="H24" s="399">
        <v>1</v>
      </c>
      <c r="I24" s="399">
        <f t="shared" ref="I24" si="8">G24*H24</f>
        <v>4000</v>
      </c>
      <c r="J24" s="499">
        <f t="shared" ref="J24" si="9">F24*I24</f>
        <v>285.71428571428572</v>
      </c>
    </row>
    <row r="25" spans="1:11" ht="17.45" customHeight="1" x14ac:dyDescent="0.2">
      <c r="A25" s="615"/>
      <c r="B25" s="616" t="s">
        <v>3825</v>
      </c>
      <c r="C25" s="617"/>
      <c r="D25" s="617"/>
      <c r="E25" s="618"/>
      <c r="F25" s="619"/>
      <c r="G25" s="399"/>
      <c r="H25" s="399"/>
      <c r="I25" s="399"/>
      <c r="J25" s="499">
        <f>SUM(J11:J24)</f>
        <v>1341.1171428571429</v>
      </c>
    </row>
    <row r="26" spans="1:11" ht="24.6" customHeight="1" x14ac:dyDescent="0.2">
      <c r="A26" s="855" t="s">
        <v>1091</v>
      </c>
      <c r="B26" s="856"/>
      <c r="C26" s="856"/>
      <c r="D26" s="856"/>
      <c r="E26" s="856"/>
      <c r="F26" s="856"/>
      <c r="G26" s="856"/>
      <c r="H26" s="856"/>
      <c r="I26" s="856"/>
      <c r="J26" s="857"/>
    </row>
    <row r="27" spans="1:11" ht="33.6" customHeight="1" x14ac:dyDescent="0.2">
      <c r="A27" s="137">
        <v>1</v>
      </c>
      <c r="B27" s="137" t="s">
        <v>185</v>
      </c>
      <c r="C27" s="79">
        <v>1</v>
      </c>
      <c r="D27" s="79">
        <v>10</v>
      </c>
      <c r="E27" s="498">
        <f t="shared" ref="E27:E38" si="10">C27*(1/D27)</f>
        <v>0.1</v>
      </c>
      <c r="F27" s="498">
        <f t="shared" si="3"/>
        <v>3.8461538461538464E-3</v>
      </c>
      <c r="G27" s="399">
        <v>205000</v>
      </c>
      <c r="H27" s="399">
        <f t="shared" ref="H27:H33" si="11">$H$11</f>
        <v>1</v>
      </c>
      <c r="I27" s="399">
        <f t="shared" ref="I27:I38" si="12">G27*H27</f>
        <v>205000</v>
      </c>
      <c r="J27" s="499">
        <f t="shared" si="4"/>
        <v>788.46153846153845</v>
      </c>
    </row>
    <row r="28" spans="1:11" ht="31.9" customHeight="1" x14ac:dyDescent="0.2">
      <c r="A28" s="137">
        <v>2</v>
      </c>
      <c r="B28" s="137" t="s">
        <v>1094</v>
      </c>
      <c r="C28" s="79">
        <v>1</v>
      </c>
      <c r="D28" s="79">
        <v>5</v>
      </c>
      <c r="E28" s="498">
        <f t="shared" si="10"/>
        <v>0.2</v>
      </c>
      <c r="F28" s="498">
        <f t="shared" si="3"/>
        <v>7.6923076923076927E-3</v>
      </c>
      <c r="G28" s="399">
        <v>32180</v>
      </c>
      <c r="H28" s="399">
        <f t="shared" si="11"/>
        <v>1</v>
      </c>
      <c r="I28" s="399">
        <f t="shared" si="12"/>
        <v>32180</v>
      </c>
      <c r="J28" s="499">
        <f t="shared" si="4"/>
        <v>247.53846153846155</v>
      </c>
    </row>
    <row r="29" spans="1:11" ht="16.899999999999999" customHeight="1" x14ac:dyDescent="0.2">
      <c r="A29" s="137">
        <v>3</v>
      </c>
      <c r="B29" s="137" t="s">
        <v>1096</v>
      </c>
      <c r="C29" s="79">
        <v>1</v>
      </c>
      <c r="D29" s="79">
        <v>5</v>
      </c>
      <c r="E29" s="498">
        <f t="shared" si="10"/>
        <v>0.2</v>
      </c>
      <c r="F29" s="498">
        <f t="shared" si="3"/>
        <v>7.6923076923076927E-3</v>
      </c>
      <c r="G29" s="399">
        <v>13990</v>
      </c>
      <c r="H29" s="399">
        <f t="shared" si="11"/>
        <v>1</v>
      </c>
      <c r="I29" s="399">
        <f t="shared" si="12"/>
        <v>13990</v>
      </c>
      <c r="J29" s="499">
        <f t="shared" si="4"/>
        <v>107.61538461538463</v>
      </c>
      <c r="K29" s="95">
        <f>F29*I29</f>
        <v>107.61538461538463</v>
      </c>
    </row>
    <row r="30" spans="1:11" ht="16.899999999999999" customHeight="1" x14ac:dyDescent="0.2">
      <c r="A30" s="137">
        <v>3</v>
      </c>
      <c r="B30" s="137" t="s">
        <v>189</v>
      </c>
      <c r="C30" s="79">
        <v>1</v>
      </c>
      <c r="D30" s="79">
        <v>5</v>
      </c>
      <c r="E30" s="498">
        <f t="shared" si="10"/>
        <v>0.2</v>
      </c>
      <c r="F30" s="498">
        <f t="shared" si="3"/>
        <v>7.6923076923076927E-3</v>
      </c>
      <c r="G30" s="399">
        <v>22790</v>
      </c>
      <c r="H30" s="399">
        <f t="shared" si="11"/>
        <v>1</v>
      </c>
      <c r="I30" s="399">
        <f t="shared" si="12"/>
        <v>22790</v>
      </c>
      <c r="J30" s="499">
        <f t="shared" si="4"/>
        <v>175.30769230769232</v>
      </c>
      <c r="K30" s="95">
        <f t="shared" ref="K30:K32" si="13">F30*I30</f>
        <v>175.30769230769232</v>
      </c>
    </row>
    <row r="31" spans="1:11" ht="16.899999999999999" customHeight="1" x14ac:dyDescent="0.2">
      <c r="A31" s="137">
        <v>5</v>
      </c>
      <c r="B31" s="137" t="s">
        <v>191</v>
      </c>
      <c r="C31" s="79">
        <v>1</v>
      </c>
      <c r="D31" s="79">
        <v>10</v>
      </c>
      <c r="E31" s="498">
        <f t="shared" si="10"/>
        <v>0.1</v>
      </c>
      <c r="F31" s="498">
        <f t="shared" si="3"/>
        <v>3.8461538461538464E-3</v>
      </c>
      <c r="G31" s="399">
        <v>40185</v>
      </c>
      <c r="H31" s="399">
        <f t="shared" si="11"/>
        <v>1</v>
      </c>
      <c r="I31" s="399">
        <f t="shared" si="12"/>
        <v>40185</v>
      </c>
      <c r="J31" s="499">
        <f t="shared" si="4"/>
        <v>154.55769230769232</v>
      </c>
      <c r="K31" s="95">
        <f t="shared" si="13"/>
        <v>154.55769230769232</v>
      </c>
    </row>
    <row r="32" spans="1:11" ht="30.75" customHeight="1" x14ac:dyDescent="0.2">
      <c r="A32" s="137">
        <v>6</v>
      </c>
      <c r="B32" s="137" t="s">
        <v>193</v>
      </c>
      <c r="C32" s="79">
        <v>1</v>
      </c>
      <c r="D32" s="79">
        <v>5</v>
      </c>
      <c r="E32" s="498">
        <f t="shared" si="10"/>
        <v>0.2</v>
      </c>
      <c r="F32" s="498">
        <f t="shared" si="3"/>
        <v>7.6923076923076927E-3</v>
      </c>
      <c r="G32" s="399">
        <v>22222</v>
      </c>
      <c r="H32" s="399">
        <f t="shared" si="11"/>
        <v>1</v>
      </c>
      <c r="I32" s="399">
        <f t="shared" si="12"/>
        <v>22222</v>
      </c>
      <c r="J32" s="499">
        <f t="shared" si="4"/>
        <v>170.93846153846155</v>
      </c>
      <c r="K32" s="95">
        <f t="shared" si="13"/>
        <v>170.93846153846155</v>
      </c>
    </row>
    <row r="33" spans="1:10" ht="16.899999999999999" customHeight="1" x14ac:dyDescent="0.2">
      <c r="A33" s="137">
        <v>4</v>
      </c>
      <c r="B33" s="137" t="s">
        <v>195</v>
      </c>
      <c r="C33" s="79">
        <v>1</v>
      </c>
      <c r="D33" s="79">
        <v>3</v>
      </c>
      <c r="E33" s="498">
        <f t="shared" si="10"/>
        <v>0.33333333333333331</v>
      </c>
      <c r="F33" s="498">
        <f t="shared" si="3"/>
        <v>1.282051282051282E-2</v>
      </c>
      <c r="G33" s="399">
        <v>1709</v>
      </c>
      <c r="H33" s="399">
        <f t="shared" si="11"/>
        <v>1</v>
      </c>
      <c r="I33" s="399">
        <f t="shared" si="12"/>
        <v>1709</v>
      </c>
      <c r="J33" s="499">
        <f t="shared" si="4"/>
        <v>21.910256410256409</v>
      </c>
    </row>
    <row r="34" spans="1:10" ht="16.899999999999999" hidden="1" customHeight="1" x14ac:dyDescent="0.2">
      <c r="A34" s="137"/>
      <c r="B34" s="137" t="s">
        <v>4331</v>
      </c>
      <c r="C34" s="79">
        <v>1</v>
      </c>
      <c r="D34" s="79">
        <v>10</v>
      </c>
      <c r="E34" s="498">
        <f t="shared" si="10"/>
        <v>0.1</v>
      </c>
      <c r="F34" s="498">
        <f t="shared" si="3"/>
        <v>3.8461538461538464E-3</v>
      </c>
      <c r="G34" s="399">
        <v>220000</v>
      </c>
      <c r="H34" s="399">
        <v>1</v>
      </c>
      <c r="I34" s="399">
        <f t="shared" si="12"/>
        <v>220000</v>
      </c>
      <c r="J34" s="499">
        <f t="shared" si="4"/>
        <v>846.15384615384619</v>
      </c>
    </row>
    <row r="35" spans="1:10" ht="16.899999999999999" hidden="1" customHeight="1" x14ac:dyDescent="0.2">
      <c r="A35" s="137"/>
      <c r="B35" s="137" t="s">
        <v>4332</v>
      </c>
      <c r="C35" s="79">
        <v>1</v>
      </c>
      <c r="D35" s="79">
        <v>5</v>
      </c>
      <c r="E35" s="498">
        <f t="shared" si="10"/>
        <v>0.2</v>
      </c>
      <c r="F35" s="498">
        <f t="shared" si="3"/>
        <v>7.6923076923076927E-3</v>
      </c>
      <c r="G35" s="399">
        <v>58120</v>
      </c>
      <c r="H35" s="399">
        <v>1</v>
      </c>
      <c r="I35" s="399">
        <f t="shared" si="12"/>
        <v>58120</v>
      </c>
      <c r="J35" s="499">
        <f t="shared" si="4"/>
        <v>447.07692307692309</v>
      </c>
    </row>
    <row r="36" spans="1:10" ht="16.899999999999999" hidden="1" customHeight="1" x14ac:dyDescent="0.2">
      <c r="A36" s="137"/>
      <c r="B36" s="137" t="s">
        <v>4333</v>
      </c>
      <c r="C36" s="79">
        <v>1</v>
      </c>
      <c r="D36" s="79">
        <v>5</v>
      </c>
      <c r="E36" s="498">
        <f t="shared" si="10"/>
        <v>0.2</v>
      </c>
      <c r="F36" s="498">
        <f t="shared" si="3"/>
        <v>7.6923076923076927E-3</v>
      </c>
      <c r="G36" s="399">
        <v>30000</v>
      </c>
      <c r="H36" s="399">
        <v>1</v>
      </c>
      <c r="I36" s="399">
        <f t="shared" si="12"/>
        <v>30000</v>
      </c>
      <c r="J36" s="499">
        <f t="shared" si="4"/>
        <v>230.76923076923077</v>
      </c>
    </row>
    <row r="37" spans="1:10" ht="16.899999999999999" hidden="1" customHeight="1" x14ac:dyDescent="0.2">
      <c r="A37" s="137"/>
      <c r="B37" s="137" t="s">
        <v>4334</v>
      </c>
      <c r="C37" s="79">
        <v>1</v>
      </c>
      <c r="D37" s="79">
        <v>5</v>
      </c>
      <c r="E37" s="498">
        <f t="shared" si="10"/>
        <v>0.2</v>
      </c>
      <c r="F37" s="498">
        <f t="shared" si="3"/>
        <v>7.6923076923076927E-3</v>
      </c>
      <c r="G37" s="399">
        <v>17249</v>
      </c>
      <c r="H37" s="399">
        <v>1</v>
      </c>
      <c r="I37" s="399">
        <f t="shared" si="12"/>
        <v>17249</v>
      </c>
      <c r="J37" s="499">
        <f t="shared" si="4"/>
        <v>132.6846153846154</v>
      </c>
    </row>
    <row r="38" spans="1:10" ht="16.899999999999999" hidden="1" customHeight="1" x14ac:dyDescent="0.2">
      <c r="A38" s="137"/>
      <c r="B38" s="137" t="s">
        <v>4335</v>
      </c>
      <c r="C38" s="79">
        <v>1</v>
      </c>
      <c r="D38" s="79">
        <v>10</v>
      </c>
      <c r="E38" s="498">
        <f t="shared" si="10"/>
        <v>0.1</v>
      </c>
      <c r="F38" s="498">
        <f t="shared" si="3"/>
        <v>3.8461538461538464E-3</v>
      </c>
      <c r="G38" s="399">
        <v>42990</v>
      </c>
      <c r="H38" s="399">
        <v>1</v>
      </c>
      <c r="I38" s="399">
        <f t="shared" si="12"/>
        <v>42990</v>
      </c>
      <c r="J38" s="499">
        <f t="shared" si="4"/>
        <v>165.34615384615387</v>
      </c>
    </row>
    <row r="39" spans="1:10" ht="16.899999999999999" customHeight="1" x14ac:dyDescent="0.2">
      <c r="A39" s="137"/>
      <c r="B39" s="137" t="s">
        <v>3825</v>
      </c>
      <c r="C39" s="79"/>
      <c r="D39" s="79"/>
      <c r="E39" s="498"/>
      <c r="F39" s="498"/>
      <c r="G39" s="399"/>
      <c r="H39" s="399"/>
      <c r="I39" s="399"/>
      <c r="J39" s="499">
        <f>SUM(J27:J33)</f>
        <v>1666.3294871794872</v>
      </c>
    </row>
    <row r="40" spans="1:10" ht="15.6" customHeight="1" x14ac:dyDescent="0.2">
      <c r="A40" s="855" t="s">
        <v>247</v>
      </c>
      <c r="B40" s="856"/>
      <c r="C40" s="856"/>
      <c r="D40" s="856"/>
      <c r="E40" s="856"/>
      <c r="F40" s="856"/>
      <c r="G40" s="856"/>
      <c r="H40" s="856"/>
      <c r="I40" s="856"/>
      <c r="J40" s="857"/>
    </row>
    <row r="41" spans="1:10" ht="15" x14ac:dyDescent="0.2">
      <c r="A41" s="137">
        <v>1</v>
      </c>
      <c r="B41" s="137" t="s">
        <v>3737</v>
      </c>
      <c r="C41" s="79">
        <v>5</v>
      </c>
      <c r="D41" s="79">
        <v>7</v>
      </c>
      <c r="E41" s="498">
        <f t="shared" ref="E41:E42" si="14">C41*(1/D41)</f>
        <v>0.71428571428571419</v>
      </c>
      <c r="F41" s="498">
        <f t="shared" ref="F41:F42" si="15">E41/26</f>
        <v>2.7472527472527469E-2</v>
      </c>
      <c r="G41" s="399">
        <v>1997.58</v>
      </c>
      <c r="H41" s="399">
        <f t="shared" ref="H41:H42" si="16">$H$11</f>
        <v>1</v>
      </c>
      <c r="I41" s="399">
        <f>G41*H41</f>
        <v>1997.58</v>
      </c>
      <c r="J41" s="499">
        <f t="shared" si="4"/>
        <v>54.878571428571419</v>
      </c>
    </row>
    <row r="42" spans="1:10" ht="15" x14ac:dyDescent="0.2">
      <c r="A42" s="137">
        <v>2</v>
      </c>
      <c r="B42" s="137" t="s">
        <v>4175</v>
      </c>
      <c r="C42" s="79">
        <v>26</v>
      </c>
      <c r="D42" s="79">
        <v>7</v>
      </c>
      <c r="E42" s="498">
        <f t="shared" si="14"/>
        <v>3.714285714285714</v>
      </c>
      <c r="F42" s="498">
        <f t="shared" si="15"/>
        <v>0.14285714285714285</v>
      </c>
      <c r="G42" s="399">
        <v>1087.32</v>
      </c>
      <c r="H42" s="399">
        <f t="shared" si="16"/>
        <v>1</v>
      </c>
      <c r="I42" s="399">
        <f>G42*H42</f>
        <v>1087.32</v>
      </c>
      <c r="J42" s="499">
        <f t="shared" si="4"/>
        <v>155.33142857142855</v>
      </c>
    </row>
    <row r="43" spans="1:10" ht="15" x14ac:dyDescent="0.2">
      <c r="A43" s="137"/>
      <c r="B43" s="137" t="s">
        <v>3825</v>
      </c>
      <c r="C43" s="79"/>
      <c r="D43" s="79"/>
      <c r="E43" s="498"/>
      <c r="F43" s="498"/>
      <c r="G43" s="399"/>
      <c r="H43" s="399"/>
      <c r="I43" s="399"/>
      <c r="J43" s="499">
        <f>SUM(J41:J42)</f>
        <v>210.20999999999998</v>
      </c>
    </row>
    <row r="44" spans="1:10" s="620" customFormat="1" ht="15.75" x14ac:dyDescent="0.2">
      <c r="B44" s="621" t="s">
        <v>3837</v>
      </c>
      <c r="C44" s="622"/>
      <c r="D44" s="622"/>
      <c r="E44" s="622"/>
      <c r="F44" s="623"/>
      <c r="G44" s="263"/>
      <c r="H44" s="263"/>
      <c r="I44" s="263"/>
      <c r="J44" s="624">
        <f>J43+J39+J25</f>
        <v>3217.6566300366303</v>
      </c>
    </row>
  </sheetData>
  <mergeCells count="8">
    <mergeCell ref="A10:J10"/>
    <mergeCell ref="A26:J26"/>
    <mergeCell ref="A40:J40"/>
    <mergeCell ref="B1:F1"/>
    <mergeCell ref="B2:F2"/>
    <mergeCell ref="B7:J7"/>
    <mergeCell ref="G2:J2"/>
    <mergeCell ref="G1:J1"/>
  </mergeCells>
  <pageMargins left="0.15748031496062992" right="0.23622047244094491" top="0.19685039370078741" bottom="0" header="0.31496062992125984" footer="0.31496062992125984"/>
  <pageSetup paperSize="9" scale="70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40"/>
  <sheetViews>
    <sheetView workbookViewId="0">
      <selection activeCell="G1" sqref="G1:J1"/>
    </sheetView>
  </sheetViews>
  <sheetFormatPr defaultColWidth="8.85546875" defaultRowHeight="12.75" x14ac:dyDescent="0.2"/>
  <cols>
    <col min="1" max="1" width="4.28515625" style="89" customWidth="1"/>
    <col min="2" max="2" width="46" style="89" customWidth="1"/>
    <col min="3" max="3" width="6.7109375" style="89" bestFit="1" customWidth="1"/>
    <col min="4" max="4" width="14.140625" style="89" bestFit="1" customWidth="1"/>
    <col min="5" max="5" width="8.28515625" style="89" bestFit="1" customWidth="1"/>
    <col min="6" max="6" width="11.5703125" style="89" bestFit="1" customWidth="1"/>
    <col min="7" max="7" width="12.140625" style="89" bestFit="1" customWidth="1"/>
    <col min="8" max="8" width="7.140625" style="89" bestFit="1" customWidth="1"/>
    <col min="9" max="9" width="12.85546875" style="89" bestFit="1" customWidth="1"/>
    <col min="10" max="10" width="14" style="89" customWidth="1"/>
    <col min="11" max="11" width="0" style="89" hidden="1" customWidth="1"/>
    <col min="12" max="12" width="12.28515625" style="89" customWidth="1"/>
    <col min="13" max="13" width="9.5703125" style="89" customWidth="1"/>
    <col min="14" max="16384" width="8.85546875" style="89"/>
  </cols>
  <sheetData>
    <row r="1" spans="1:10" s="21" customFormat="1" ht="15" x14ac:dyDescent="0.2">
      <c r="B1" s="864"/>
      <c r="C1" s="864"/>
      <c r="D1" s="864"/>
      <c r="E1" s="864"/>
      <c r="F1" s="864"/>
      <c r="G1" s="801" t="s">
        <v>4723</v>
      </c>
      <c r="H1" s="801"/>
      <c r="I1" s="801"/>
      <c r="J1" s="801"/>
    </row>
    <row r="2" spans="1:10" s="21" customFormat="1" ht="15" x14ac:dyDescent="0.2">
      <c r="B2" s="864"/>
      <c r="C2" s="864"/>
      <c r="D2" s="864"/>
      <c r="E2" s="864"/>
      <c r="F2" s="864"/>
      <c r="G2" s="801" t="s">
        <v>4586</v>
      </c>
      <c r="H2" s="801"/>
      <c r="I2" s="801"/>
      <c r="J2" s="801"/>
    </row>
    <row r="3" spans="1:10" s="21" customFormat="1" ht="15" x14ac:dyDescent="0.2"/>
    <row r="4" spans="1:10" s="21" customFormat="1" ht="15" x14ac:dyDescent="0.2"/>
    <row r="5" spans="1:10" s="21" customFormat="1" ht="15" x14ac:dyDescent="0.2"/>
    <row r="6" spans="1:10" ht="15.75" x14ac:dyDescent="0.2">
      <c r="A6" s="88"/>
      <c r="B6" s="88"/>
      <c r="C6" s="88"/>
      <c r="D6" s="88"/>
      <c r="E6" s="88"/>
    </row>
    <row r="7" spans="1:10" ht="37.9" customHeight="1" x14ac:dyDescent="0.2">
      <c r="A7" s="90"/>
      <c r="B7" s="785" t="str">
        <f>'Прилож. нормативы'!C92</f>
        <v>Норматив стоимости оборудования в общеобразовательных учреждениях в зданиях, используемых для реализации программ дошкольного образования</v>
      </c>
      <c r="C7" s="785"/>
      <c r="D7" s="785"/>
      <c r="E7" s="785"/>
      <c r="F7" s="785"/>
      <c r="G7" s="785"/>
      <c r="H7" s="785"/>
      <c r="I7" s="785"/>
      <c r="J7" s="785"/>
    </row>
    <row r="8" spans="1:10" x14ac:dyDescent="0.2">
      <c r="A8" s="91"/>
      <c r="B8" s="91"/>
      <c r="C8" s="91"/>
      <c r="D8" s="91"/>
      <c r="E8" s="91"/>
    </row>
    <row r="9" spans="1:10" s="53" customFormat="1" ht="54.75" customHeight="1" x14ac:dyDescent="0.2">
      <c r="A9" s="302" t="s">
        <v>4105</v>
      </c>
      <c r="B9" s="302" t="s">
        <v>4162</v>
      </c>
      <c r="C9" s="364" t="s">
        <v>4177</v>
      </c>
      <c r="D9" s="302" t="s">
        <v>3738</v>
      </c>
      <c r="E9" s="302" t="s">
        <v>3751</v>
      </c>
      <c r="F9" s="303" t="s">
        <v>3746</v>
      </c>
      <c r="G9" s="291" t="s">
        <v>4369</v>
      </c>
      <c r="H9" s="291" t="s">
        <v>4580</v>
      </c>
      <c r="I9" s="291" t="s">
        <v>4360</v>
      </c>
      <c r="J9" s="287" t="s">
        <v>3836</v>
      </c>
    </row>
    <row r="10" spans="1:10" ht="19.899999999999999" customHeight="1" x14ac:dyDescent="0.2">
      <c r="A10" s="861" t="s">
        <v>140</v>
      </c>
      <c r="B10" s="862"/>
      <c r="C10" s="862"/>
      <c r="D10" s="862"/>
      <c r="E10" s="862"/>
      <c r="F10" s="863"/>
      <c r="G10" s="260"/>
      <c r="H10" s="260"/>
    </row>
    <row r="11" spans="1:10" ht="24.6" customHeight="1" x14ac:dyDescent="0.2">
      <c r="A11" s="71">
        <v>1</v>
      </c>
      <c r="B11" s="71" t="s">
        <v>1069</v>
      </c>
      <c r="C11" s="92">
        <v>1</v>
      </c>
      <c r="D11" s="92">
        <v>5</v>
      </c>
      <c r="E11" s="93">
        <f>C11*(1/D11)</f>
        <v>0.2</v>
      </c>
      <c r="F11" s="94">
        <f>E11/20</f>
        <v>0.01</v>
      </c>
      <c r="G11" s="497">
        <v>6211.14</v>
      </c>
      <c r="H11" s="186">
        <v>1</v>
      </c>
      <c r="I11" s="172">
        <f t="shared" ref="I11:I21" si="0">G11*H11</f>
        <v>6211.14</v>
      </c>
      <c r="J11" s="172">
        <f>F11*I11</f>
        <v>62.111400000000003</v>
      </c>
    </row>
    <row r="12" spans="1:10" ht="24.6" customHeight="1" x14ac:dyDescent="0.2">
      <c r="A12" s="71">
        <v>2</v>
      </c>
      <c r="B12" s="71" t="s">
        <v>3739</v>
      </c>
      <c r="C12" s="92">
        <v>1</v>
      </c>
      <c r="D12" s="92">
        <v>7</v>
      </c>
      <c r="E12" s="93">
        <f t="shared" ref="E12:E28" si="1">C12*(1/D12)</f>
        <v>0.14285714285714285</v>
      </c>
      <c r="F12" s="94">
        <f t="shared" ref="F12:F28" si="2">E12/20</f>
        <v>7.1428571428571426E-3</v>
      </c>
      <c r="G12" s="497">
        <v>2173.86</v>
      </c>
      <c r="H12" s="186">
        <f>$H$11</f>
        <v>1</v>
      </c>
      <c r="I12" s="172">
        <f t="shared" si="0"/>
        <v>2173.86</v>
      </c>
      <c r="J12" s="172">
        <f t="shared" ref="J12:J13" si="3">F12*I12</f>
        <v>15.527571428571429</v>
      </c>
    </row>
    <row r="13" spans="1:10" ht="24.6" customHeight="1" x14ac:dyDescent="0.2">
      <c r="A13" s="71">
        <v>3</v>
      </c>
      <c r="B13" s="71" t="s">
        <v>3740</v>
      </c>
      <c r="C13" s="92">
        <v>1</v>
      </c>
      <c r="D13" s="92">
        <v>7</v>
      </c>
      <c r="E13" s="93">
        <f t="shared" si="1"/>
        <v>0.14285714285714285</v>
      </c>
      <c r="F13" s="94">
        <f t="shared" si="2"/>
        <v>7.1428571428571426E-3</v>
      </c>
      <c r="G13" s="497">
        <v>1523</v>
      </c>
      <c r="H13" s="186">
        <f t="shared" ref="H13:H17" si="4">$H$11</f>
        <v>1</v>
      </c>
      <c r="I13" s="172">
        <f t="shared" si="0"/>
        <v>1523</v>
      </c>
      <c r="J13" s="172">
        <f t="shared" si="3"/>
        <v>10.878571428571428</v>
      </c>
    </row>
    <row r="14" spans="1:10" ht="24.6" customHeight="1" x14ac:dyDescent="0.2">
      <c r="A14" s="71">
        <v>4</v>
      </c>
      <c r="B14" s="71" t="s">
        <v>3741</v>
      </c>
      <c r="C14" s="92">
        <v>1</v>
      </c>
      <c r="D14" s="92">
        <v>7</v>
      </c>
      <c r="E14" s="93">
        <f t="shared" si="1"/>
        <v>0.14285714285714285</v>
      </c>
      <c r="F14" s="94">
        <f t="shared" si="2"/>
        <v>7.1428571428571426E-3</v>
      </c>
      <c r="G14" s="497">
        <v>1511.64</v>
      </c>
      <c r="H14" s="186">
        <f t="shared" si="4"/>
        <v>1</v>
      </c>
      <c r="I14" s="172">
        <f t="shared" si="0"/>
        <v>1511.64</v>
      </c>
      <c r="J14" s="172">
        <f t="shared" ref="J14:J21" si="5">F14*I14</f>
        <v>10.797428571428572</v>
      </c>
    </row>
    <row r="15" spans="1:10" ht="33.6" customHeight="1" x14ac:dyDescent="0.2">
      <c r="A15" s="71">
        <v>5</v>
      </c>
      <c r="B15" s="71" t="s">
        <v>1369</v>
      </c>
      <c r="C15" s="92">
        <v>10</v>
      </c>
      <c r="D15" s="92">
        <v>7</v>
      </c>
      <c r="E15" s="93">
        <f t="shared" si="1"/>
        <v>1.4285714285714284</v>
      </c>
      <c r="F15" s="94">
        <f t="shared" si="2"/>
        <v>7.1428571428571425E-2</v>
      </c>
      <c r="G15" s="497">
        <v>1803.36</v>
      </c>
      <c r="H15" s="186">
        <f t="shared" si="4"/>
        <v>1</v>
      </c>
      <c r="I15" s="172">
        <f t="shared" si="0"/>
        <v>1803.36</v>
      </c>
      <c r="J15" s="172">
        <f t="shared" si="5"/>
        <v>128.81142857142856</v>
      </c>
    </row>
    <row r="16" spans="1:10" ht="24.6" customHeight="1" x14ac:dyDescent="0.2">
      <c r="A16" s="71">
        <v>6</v>
      </c>
      <c r="B16" s="71" t="s">
        <v>1371</v>
      </c>
      <c r="C16" s="92">
        <v>20</v>
      </c>
      <c r="D16" s="92">
        <v>7</v>
      </c>
      <c r="E16" s="93">
        <f t="shared" si="1"/>
        <v>2.8571428571428568</v>
      </c>
      <c r="F16" s="94">
        <f>E16/20</f>
        <v>0.14285714285714285</v>
      </c>
      <c r="G16" s="497">
        <v>670.02</v>
      </c>
      <c r="H16" s="186">
        <f t="shared" si="4"/>
        <v>1</v>
      </c>
      <c r="I16" s="172">
        <f t="shared" si="0"/>
        <v>670.02</v>
      </c>
      <c r="J16" s="172">
        <f t="shared" si="5"/>
        <v>95.717142857142846</v>
      </c>
    </row>
    <row r="17" spans="1:11" ht="24.6" customHeight="1" x14ac:dyDescent="0.2">
      <c r="A17" s="71">
        <v>7</v>
      </c>
      <c r="B17" s="71" t="s">
        <v>1081</v>
      </c>
      <c r="C17" s="92">
        <v>2</v>
      </c>
      <c r="D17" s="92">
        <v>7</v>
      </c>
      <c r="E17" s="93">
        <f t="shared" si="1"/>
        <v>0.2857142857142857</v>
      </c>
      <c r="F17" s="94">
        <f t="shared" si="2"/>
        <v>1.4285714285714285E-2</v>
      </c>
      <c r="G17" s="497">
        <v>3007.68</v>
      </c>
      <c r="H17" s="186">
        <f t="shared" si="4"/>
        <v>1</v>
      </c>
      <c r="I17" s="172">
        <f>G17*H17</f>
        <v>3007.68</v>
      </c>
      <c r="J17" s="172">
        <f t="shared" si="5"/>
        <v>42.966857142857137</v>
      </c>
    </row>
    <row r="18" spans="1:11" ht="30.6" hidden="1" customHeight="1" x14ac:dyDescent="0.2">
      <c r="A18" s="71">
        <v>8</v>
      </c>
      <c r="B18" s="71" t="s">
        <v>3742</v>
      </c>
      <c r="C18" s="92">
        <v>2</v>
      </c>
      <c r="D18" s="92">
        <v>7</v>
      </c>
      <c r="E18" s="93">
        <f t="shared" si="1"/>
        <v>0.2857142857142857</v>
      </c>
      <c r="F18" s="94">
        <f t="shared" si="2"/>
        <v>1.4285714285714285E-2</v>
      </c>
      <c r="G18" s="172">
        <v>4020</v>
      </c>
      <c r="H18" s="186">
        <v>0</v>
      </c>
      <c r="I18" s="172">
        <f t="shared" si="0"/>
        <v>0</v>
      </c>
      <c r="J18" s="172">
        <f t="shared" si="5"/>
        <v>0</v>
      </c>
    </row>
    <row r="19" spans="1:11" ht="24.6" hidden="1" customHeight="1" x14ac:dyDescent="0.2">
      <c r="A19" s="71">
        <v>9</v>
      </c>
      <c r="B19" s="71" t="s">
        <v>3747</v>
      </c>
      <c r="C19" s="92">
        <v>20</v>
      </c>
      <c r="D19" s="92">
        <v>7</v>
      </c>
      <c r="E19" s="93">
        <f t="shared" si="1"/>
        <v>2.8571428571428568</v>
      </c>
      <c r="F19" s="94">
        <f t="shared" si="2"/>
        <v>0.14285714285714285</v>
      </c>
      <c r="G19" s="172">
        <v>2230</v>
      </c>
      <c r="H19" s="186">
        <v>0</v>
      </c>
      <c r="I19" s="172">
        <f t="shared" si="0"/>
        <v>0</v>
      </c>
      <c r="J19" s="172">
        <f t="shared" si="5"/>
        <v>0</v>
      </c>
      <c r="K19" s="865" t="s">
        <v>3912</v>
      </c>
    </row>
    <row r="20" spans="1:11" ht="24.6" hidden="1" customHeight="1" x14ac:dyDescent="0.2">
      <c r="A20" s="71">
        <v>10</v>
      </c>
      <c r="B20" s="71" t="s">
        <v>3743</v>
      </c>
      <c r="C20" s="92">
        <v>8</v>
      </c>
      <c r="D20" s="92">
        <v>7</v>
      </c>
      <c r="E20" s="93">
        <f t="shared" si="1"/>
        <v>1.1428571428571428</v>
      </c>
      <c r="F20" s="94">
        <f t="shared" si="2"/>
        <v>5.7142857142857141E-2</v>
      </c>
      <c r="G20" s="172">
        <v>5810</v>
      </c>
      <c r="H20" s="186">
        <v>0</v>
      </c>
      <c r="I20" s="172">
        <f t="shared" si="0"/>
        <v>0</v>
      </c>
      <c r="J20" s="172">
        <f t="shared" si="5"/>
        <v>0</v>
      </c>
      <c r="K20" s="865"/>
    </row>
    <row r="21" spans="1:11" ht="24.6" hidden="1" customHeight="1" x14ac:dyDescent="0.2">
      <c r="A21" s="71">
        <v>11</v>
      </c>
      <c r="B21" s="71" t="s">
        <v>3744</v>
      </c>
      <c r="C21" s="92">
        <v>1</v>
      </c>
      <c r="D21" s="92">
        <v>7</v>
      </c>
      <c r="E21" s="93">
        <f t="shared" si="1"/>
        <v>0.14285714285714285</v>
      </c>
      <c r="F21" s="94">
        <f t="shared" si="2"/>
        <v>7.1428571428571426E-3</v>
      </c>
      <c r="G21" s="172">
        <v>14670</v>
      </c>
      <c r="H21" s="186">
        <v>0</v>
      </c>
      <c r="I21" s="172">
        <f t="shared" si="0"/>
        <v>0</v>
      </c>
      <c r="J21" s="172">
        <f t="shared" si="5"/>
        <v>0</v>
      </c>
      <c r="K21" s="865"/>
    </row>
    <row r="22" spans="1:11" ht="24.6" hidden="1" customHeight="1" x14ac:dyDescent="0.2">
      <c r="A22" s="71"/>
      <c r="B22" s="71" t="s">
        <v>3825</v>
      </c>
      <c r="C22" s="92"/>
      <c r="D22" s="92"/>
      <c r="E22" s="93"/>
      <c r="F22" s="94"/>
      <c r="G22" s="172"/>
      <c r="H22" s="186"/>
      <c r="I22" s="172"/>
      <c r="J22" s="172">
        <f>SUM(J11:J21)</f>
        <v>366.81039999999996</v>
      </c>
      <c r="K22" s="365"/>
    </row>
    <row r="23" spans="1:11" ht="24.6" hidden="1" customHeight="1" x14ac:dyDescent="0.2">
      <c r="A23" s="861" t="s">
        <v>4185</v>
      </c>
      <c r="B23" s="862"/>
      <c r="C23" s="862"/>
      <c r="D23" s="862"/>
      <c r="E23" s="862"/>
      <c r="F23" s="862"/>
      <c r="G23" s="862"/>
      <c r="H23" s="862"/>
      <c r="I23" s="862"/>
      <c r="J23" s="863"/>
      <c r="K23" s="365"/>
    </row>
    <row r="24" spans="1:11" ht="24.6" hidden="1" customHeight="1" x14ac:dyDescent="0.2">
      <c r="A24" s="71"/>
      <c r="B24" s="71" t="s">
        <v>3290</v>
      </c>
      <c r="C24" s="92">
        <v>1</v>
      </c>
      <c r="D24" s="92">
        <v>3</v>
      </c>
      <c r="E24" s="93">
        <f t="shared" si="1"/>
        <v>0.33333333333333331</v>
      </c>
      <c r="F24" s="94">
        <f t="shared" si="2"/>
        <v>1.6666666666666666E-2</v>
      </c>
      <c r="G24" s="172">
        <v>41556.660000000003</v>
      </c>
      <c r="H24" s="186">
        <v>0</v>
      </c>
      <c r="I24" s="172">
        <f t="shared" ref="I24" si="6">G24*H24</f>
        <v>0</v>
      </c>
      <c r="J24" s="172">
        <f t="shared" ref="J24" si="7">F24*I24</f>
        <v>0</v>
      </c>
      <c r="K24" s="365"/>
    </row>
    <row r="25" spans="1:11" ht="24.6" hidden="1" customHeight="1" x14ac:dyDescent="0.2">
      <c r="A25" s="71"/>
      <c r="B25" s="71" t="s">
        <v>4186</v>
      </c>
      <c r="C25" s="92">
        <v>1</v>
      </c>
      <c r="D25" s="92">
        <v>5</v>
      </c>
      <c r="E25" s="93">
        <f t="shared" si="1"/>
        <v>0.2</v>
      </c>
      <c r="F25" s="94">
        <f t="shared" si="2"/>
        <v>0.01</v>
      </c>
      <c r="G25" s="172">
        <v>13200</v>
      </c>
      <c r="H25" s="186">
        <v>0</v>
      </c>
      <c r="I25" s="172">
        <f t="shared" ref="I25:I28" si="8">G25*H25</f>
        <v>0</v>
      </c>
      <c r="J25" s="172">
        <f t="shared" ref="J25:J28" si="9">F25*I25</f>
        <v>0</v>
      </c>
      <c r="K25" s="365"/>
    </row>
    <row r="26" spans="1:11" ht="24.6" hidden="1" customHeight="1" x14ac:dyDescent="0.2">
      <c r="A26" s="71"/>
      <c r="B26" s="71" t="s">
        <v>4176</v>
      </c>
      <c r="C26" s="92">
        <v>2</v>
      </c>
      <c r="D26" s="92">
        <v>9</v>
      </c>
      <c r="E26" s="93">
        <f t="shared" si="1"/>
        <v>0.22222222222222221</v>
      </c>
      <c r="F26" s="94">
        <f t="shared" si="2"/>
        <v>1.111111111111111E-2</v>
      </c>
      <c r="G26" s="172">
        <v>62823.58</v>
      </c>
      <c r="H26" s="186">
        <v>0</v>
      </c>
      <c r="I26" s="172">
        <f t="shared" si="8"/>
        <v>0</v>
      </c>
      <c r="J26" s="172">
        <f t="shared" si="9"/>
        <v>0</v>
      </c>
      <c r="K26" s="365"/>
    </row>
    <row r="27" spans="1:11" ht="24.6" hidden="1" customHeight="1" x14ac:dyDescent="0.2">
      <c r="A27" s="71"/>
      <c r="B27" s="71" t="s">
        <v>2567</v>
      </c>
      <c r="C27" s="92">
        <v>3</v>
      </c>
      <c r="D27" s="92">
        <v>9</v>
      </c>
      <c r="E27" s="93">
        <f t="shared" si="1"/>
        <v>0.33333333333333331</v>
      </c>
      <c r="F27" s="94">
        <f t="shared" si="2"/>
        <v>1.6666666666666666E-2</v>
      </c>
      <c r="G27" s="172">
        <v>17825</v>
      </c>
      <c r="H27" s="186">
        <v>0</v>
      </c>
      <c r="I27" s="172">
        <f t="shared" si="8"/>
        <v>0</v>
      </c>
      <c r="J27" s="172">
        <f t="shared" si="9"/>
        <v>0</v>
      </c>
      <c r="K27" s="365"/>
    </row>
    <row r="28" spans="1:11" ht="41.25" hidden="1" customHeight="1" x14ac:dyDescent="0.2">
      <c r="A28" s="71"/>
      <c r="B28" s="71" t="s">
        <v>4178</v>
      </c>
      <c r="C28" s="92">
        <v>6</v>
      </c>
      <c r="D28" s="92">
        <v>3</v>
      </c>
      <c r="E28" s="93">
        <f t="shared" si="1"/>
        <v>2</v>
      </c>
      <c r="F28" s="94">
        <f t="shared" si="2"/>
        <v>0.1</v>
      </c>
      <c r="G28" s="172">
        <v>32555</v>
      </c>
      <c r="H28" s="186">
        <v>0</v>
      </c>
      <c r="I28" s="172">
        <f t="shared" si="8"/>
        <v>0</v>
      </c>
      <c r="J28" s="172">
        <f t="shared" si="9"/>
        <v>0</v>
      </c>
      <c r="K28" s="365"/>
    </row>
    <row r="29" spans="1:11" ht="24.6" hidden="1" customHeight="1" x14ac:dyDescent="0.2">
      <c r="A29" s="71"/>
      <c r="B29" s="71" t="s">
        <v>3825</v>
      </c>
      <c r="C29" s="92"/>
      <c r="D29" s="92"/>
      <c r="E29" s="93"/>
      <c r="F29" s="94"/>
      <c r="G29" s="172"/>
      <c r="H29" s="186"/>
      <c r="I29" s="172"/>
      <c r="J29" s="172">
        <f>SUM(J24:J28)</f>
        <v>0</v>
      </c>
      <c r="K29" s="365"/>
    </row>
    <row r="30" spans="1:11" ht="24.6" hidden="1" customHeight="1" x14ac:dyDescent="0.2">
      <c r="A30" s="861" t="s">
        <v>4179</v>
      </c>
      <c r="B30" s="862"/>
      <c r="C30" s="862"/>
      <c r="D30" s="862"/>
      <c r="E30" s="862"/>
      <c r="F30" s="862"/>
      <c r="G30" s="862"/>
      <c r="H30" s="862"/>
      <c r="I30" s="862"/>
      <c r="J30" s="863"/>
      <c r="K30" s="365"/>
    </row>
    <row r="31" spans="1:11" ht="24.6" hidden="1" customHeight="1" x14ac:dyDescent="0.2">
      <c r="A31" s="71"/>
      <c r="B31" s="71" t="s">
        <v>4180</v>
      </c>
      <c r="C31" s="92">
        <v>2</v>
      </c>
      <c r="D31" s="92">
        <v>9</v>
      </c>
      <c r="E31" s="93">
        <f t="shared" ref="E31" si="10">C31*(1/D31)</f>
        <v>0.22222222222222221</v>
      </c>
      <c r="F31" s="94">
        <f t="shared" ref="F31" si="11">E31/20</f>
        <v>1.111111111111111E-2</v>
      </c>
      <c r="G31" s="172">
        <v>92610</v>
      </c>
      <c r="H31" s="186">
        <v>0</v>
      </c>
      <c r="I31" s="172">
        <f t="shared" ref="I31" si="12">G31*H31</f>
        <v>0</v>
      </c>
      <c r="J31" s="172">
        <f t="shared" ref="J31" si="13">F31*I31</f>
        <v>0</v>
      </c>
      <c r="K31" s="365"/>
    </row>
    <row r="32" spans="1:11" ht="24.6" hidden="1" customHeight="1" x14ac:dyDescent="0.2">
      <c r="A32" s="71"/>
      <c r="B32" s="71" t="s">
        <v>4181</v>
      </c>
      <c r="C32" s="92">
        <v>1</v>
      </c>
      <c r="D32" s="92">
        <v>9</v>
      </c>
      <c r="E32" s="93">
        <f t="shared" ref="E32:E35" si="14">C32*(1/D32)</f>
        <v>0.1111111111111111</v>
      </c>
      <c r="F32" s="94">
        <f t="shared" ref="F32:F35" si="15">E32/20</f>
        <v>5.5555555555555549E-3</v>
      </c>
      <c r="G32" s="172">
        <v>59351</v>
      </c>
      <c r="H32" s="186">
        <v>0</v>
      </c>
      <c r="I32" s="172">
        <f t="shared" ref="I32:I35" si="16">G32*H32</f>
        <v>0</v>
      </c>
      <c r="J32" s="172">
        <f t="shared" ref="J32:J35" si="17">F32*I32</f>
        <v>0</v>
      </c>
      <c r="K32" s="365"/>
    </row>
    <row r="33" spans="1:11" ht="24.6" hidden="1" customHeight="1" x14ac:dyDescent="0.2">
      <c r="A33" s="71"/>
      <c r="B33" s="71" t="s">
        <v>4182</v>
      </c>
      <c r="C33" s="92">
        <v>1</v>
      </c>
      <c r="D33" s="92">
        <v>9</v>
      </c>
      <c r="E33" s="93">
        <f t="shared" si="14"/>
        <v>0.1111111111111111</v>
      </c>
      <c r="F33" s="94">
        <f t="shared" si="15"/>
        <v>5.5555555555555549E-3</v>
      </c>
      <c r="G33" s="172">
        <v>29900</v>
      </c>
      <c r="H33" s="186">
        <v>0</v>
      </c>
      <c r="I33" s="172">
        <f t="shared" si="16"/>
        <v>0</v>
      </c>
      <c r="J33" s="172">
        <f t="shared" si="17"/>
        <v>0</v>
      </c>
      <c r="K33" s="365"/>
    </row>
    <row r="34" spans="1:11" ht="24.6" hidden="1" customHeight="1" x14ac:dyDescent="0.2">
      <c r="A34" s="71"/>
      <c r="B34" s="71" t="s">
        <v>4183</v>
      </c>
      <c r="C34" s="92">
        <v>3</v>
      </c>
      <c r="D34" s="92">
        <v>4</v>
      </c>
      <c r="E34" s="93">
        <f t="shared" si="14"/>
        <v>0.75</v>
      </c>
      <c r="F34" s="94">
        <f t="shared" si="15"/>
        <v>3.7499999999999999E-2</v>
      </c>
      <c r="G34" s="172">
        <v>4055.5</v>
      </c>
      <c r="H34" s="186">
        <v>0</v>
      </c>
      <c r="I34" s="172">
        <f t="shared" si="16"/>
        <v>0</v>
      </c>
      <c r="J34" s="172">
        <f t="shared" si="17"/>
        <v>0</v>
      </c>
      <c r="K34" s="365"/>
    </row>
    <row r="35" spans="1:11" ht="24.6" hidden="1" customHeight="1" x14ac:dyDescent="0.2">
      <c r="A35" s="71"/>
      <c r="B35" s="71" t="s">
        <v>4184</v>
      </c>
      <c r="C35" s="92">
        <v>1</v>
      </c>
      <c r="D35" s="92">
        <v>6</v>
      </c>
      <c r="E35" s="93">
        <f t="shared" si="14"/>
        <v>0.16666666666666666</v>
      </c>
      <c r="F35" s="94">
        <f t="shared" si="15"/>
        <v>8.3333333333333332E-3</v>
      </c>
      <c r="G35" s="172">
        <v>7495.44</v>
      </c>
      <c r="H35" s="186">
        <v>0</v>
      </c>
      <c r="I35" s="172">
        <f t="shared" si="16"/>
        <v>0</v>
      </c>
      <c r="J35" s="172">
        <f t="shared" si="17"/>
        <v>0</v>
      </c>
      <c r="K35" s="365"/>
    </row>
    <row r="36" spans="1:11" ht="24.6" hidden="1" customHeight="1" x14ac:dyDescent="0.2">
      <c r="A36" s="71"/>
      <c r="B36" s="71" t="s">
        <v>3825</v>
      </c>
      <c r="C36" s="92"/>
      <c r="D36" s="92"/>
      <c r="E36" s="93"/>
      <c r="F36" s="94"/>
      <c r="G36" s="172"/>
      <c r="H36" s="186"/>
      <c r="I36" s="172"/>
      <c r="J36" s="172">
        <f>SUM(J31:J35)</f>
        <v>0</v>
      </c>
      <c r="K36" s="365"/>
    </row>
    <row r="37" spans="1:11" ht="24.6" hidden="1" customHeight="1" x14ac:dyDescent="0.2">
      <c r="A37" s="470">
        <v>8</v>
      </c>
      <c r="B37" s="470" t="s">
        <v>1007</v>
      </c>
      <c r="C37" s="472">
        <v>20</v>
      </c>
      <c r="D37" s="472">
        <v>7</v>
      </c>
      <c r="E37" s="473">
        <f>C37*(1/D37)</f>
        <v>2.8571428571428568</v>
      </c>
      <c r="F37" s="474">
        <f>E37/20</f>
        <v>0.14285714285714285</v>
      </c>
      <c r="G37" s="471">
        <v>3369.5</v>
      </c>
      <c r="H37" s="469">
        <v>1</v>
      </c>
      <c r="I37" s="471">
        <f>G37*H37</f>
        <v>3369.5</v>
      </c>
      <c r="J37" s="471">
        <f>F37*I37</f>
        <v>481.35714285714283</v>
      </c>
      <c r="K37" s="365"/>
    </row>
    <row r="38" spans="1:11" ht="24.6" hidden="1" customHeight="1" x14ac:dyDescent="0.2">
      <c r="A38" s="470">
        <v>9</v>
      </c>
      <c r="B38" s="470" t="s">
        <v>4336</v>
      </c>
      <c r="C38" s="472">
        <v>10</v>
      </c>
      <c r="D38" s="472">
        <v>7</v>
      </c>
      <c r="E38" s="473">
        <f>C38*(1/D38)</f>
        <v>1.4285714285714284</v>
      </c>
      <c r="F38" s="474">
        <f>E38/20</f>
        <v>7.1428571428571425E-2</v>
      </c>
      <c r="G38" s="471">
        <v>4105.28</v>
      </c>
      <c r="H38" s="469">
        <v>1</v>
      </c>
      <c r="I38" s="471">
        <f>G38*H38</f>
        <v>4105.28</v>
      </c>
      <c r="J38" s="471">
        <f>F38*I38</f>
        <v>293.2342857142857</v>
      </c>
      <c r="K38" s="365"/>
    </row>
    <row r="39" spans="1:11" ht="24.6" hidden="1" customHeight="1" x14ac:dyDescent="0.2">
      <c r="A39" s="470">
        <v>10</v>
      </c>
      <c r="B39" s="470" t="s">
        <v>4337</v>
      </c>
      <c r="C39" s="472">
        <v>2</v>
      </c>
      <c r="D39" s="472">
        <v>7</v>
      </c>
      <c r="E39" s="473">
        <f>C39*(1/D39)</f>
        <v>0.2857142857142857</v>
      </c>
      <c r="F39" s="474">
        <f>E39/20</f>
        <v>1.4285714285714285E-2</v>
      </c>
      <c r="G39" s="471">
        <v>4000</v>
      </c>
      <c r="H39" s="469">
        <v>1</v>
      </c>
      <c r="I39" s="471">
        <f>G39*H39</f>
        <v>4000</v>
      </c>
      <c r="J39" s="471">
        <f>F39*I39</f>
        <v>57.142857142857139</v>
      </c>
      <c r="K39" s="365"/>
    </row>
    <row r="40" spans="1:11" ht="15" x14ac:dyDescent="0.2">
      <c r="A40" s="131"/>
      <c r="B40" s="71" t="s">
        <v>3825</v>
      </c>
      <c r="C40" s="131"/>
      <c r="D40" s="131"/>
      <c r="E40" s="131"/>
      <c r="F40" s="131"/>
      <c r="G40" s="173"/>
      <c r="H40" s="173"/>
      <c r="I40" s="173"/>
      <c r="J40" s="173">
        <f>J22+J29+J36</f>
        <v>366.81039999999996</v>
      </c>
    </row>
  </sheetData>
  <mergeCells count="9">
    <mergeCell ref="A30:J30"/>
    <mergeCell ref="B1:F1"/>
    <mergeCell ref="B2:F2"/>
    <mergeCell ref="A10:F10"/>
    <mergeCell ref="K19:K21"/>
    <mergeCell ref="G1:J1"/>
    <mergeCell ref="G2:J2"/>
    <mergeCell ref="B7:J7"/>
    <mergeCell ref="A23:J23"/>
  </mergeCells>
  <pageMargins left="0.6692913385826772" right="0.23622047244094491" top="0.74803149606299213" bottom="0.74803149606299213" header="0.31496062992125984" footer="0.31496062992125984"/>
  <pageSetup paperSize="9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44"/>
  <sheetViews>
    <sheetView workbookViewId="0">
      <selection activeCell="G1" sqref="G1:J1"/>
    </sheetView>
  </sheetViews>
  <sheetFormatPr defaultColWidth="8.85546875" defaultRowHeight="12.75" x14ac:dyDescent="0.2"/>
  <cols>
    <col min="1" max="1" width="4.28515625" style="89" customWidth="1"/>
    <col min="2" max="2" width="46" style="89" customWidth="1"/>
    <col min="3" max="3" width="6.7109375" style="89" bestFit="1" customWidth="1"/>
    <col min="4" max="4" width="10.5703125" style="89" customWidth="1"/>
    <col min="5" max="5" width="8.28515625" style="89" bestFit="1" customWidth="1"/>
    <col min="6" max="6" width="11.5703125" style="89" bestFit="1" customWidth="1"/>
    <col min="7" max="7" width="12.140625" style="89" bestFit="1" customWidth="1"/>
    <col min="8" max="8" width="7.140625" style="89" bestFit="1" customWidth="1"/>
    <col min="9" max="9" width="11.85546875" style="89" bestFit="1" customWidth="1"/>
    <col min="10" max="10" width="14" style="89" customWidth="1"/>
    <col min="11" max="11" width="0" style="89" hidden="1" customWidth="1"/>
    <col min="12" max="12" width="12.28515625" style="89" customWidth="1"/>
    <col min="13" max="13" width="17.28515625" style="89" customWidth="1"/>
    <col min="14" max="16384" width="8.85546875" style="89"/>
  </cols>
  <sheetData>
    <row r="1" spans="1:10" s="21" customFormat="1" ht="15" x14ac:dyDescent="0.2">
      <c r="B1" s="864"/>
      <c r="C1" s="864"/>
      <c r="D1" s="864"/>
      <c r="E1" s="864"/>
      <c r="F1" s="864"/>
      <c r="G1" s="801" t="s">
        <v>4724</v>
      </c>
      <c r="H1" s="801"/>
      <c r="I1" s="801"/>
      <c r="J1" s="801"/>
    </row>
    <row r="2" spans="1:10" s="21" customFormat="1" ht="15" x14ac:dyDescent="0.2">
      <c r="B2" s="864"/>
      <c r="C2" s="864"/>
      <c r="D2" s="864"/>
      <c r="E2" s="864"/>
      <c r="F2" s="864"/>
      <c r="G2" s="801" t="s">
        <v>4586</v>
      </c>
      <c r="H2" s="801"/>
      <c r="I2" s="801"/>
      <c r="J2" s="801"/>
    </row>
    <row r="3" spans="1:10" s="21" customFormat="1" ht="15" x14ac:dyDescent="0.2"/>
    <row r="4" spans="1:10" s="21" customFormat="1" ht="15" x14ac:dyDescent="0.2"/>
    <row r="5" spans="1:10" s="21" customFormat="1" ht="15" x14ac:dyDescent="0.2"/>
    <row r="6" spans="1:10" ht="15.75" x14ac:dyDescent="0.2">
      <c r="A6" s="88"/>
      <c r="B6" s="88"/>
      <c r="C6" s="88"/>
      <c r="D6" s="88"/>
      <c r="E6" s="88"/>
    </row>
    <row r="7" spans="1:10" ht="37.9" customHeight="1" x14ac:dyDescent="0.2">
      <c r="A7" s="90"/>
      <c r="B7" s="785" t="str">
        <f>'Прилож. нормативы'!C93</f>
        <v>Норматив стоимости оборудования, связанного с оказанием присмотра и ухода для в дошкольных группах</v>
      </c>
      <c r="C7" s="785"/>
      <c r="D7" s="785"/>
      <c r="E7" s="785"/>
      <c r="F7" s="785"/>
      <c r="G7" s="785"/>
      <c r="H7" s="785"/>
      <c r="I7" s="785"/>
      <c r="J7" s="785"/>
    </row>
    <row r="8" spans="1:10" x14ac:dyDescent="0.2">
      <c r="A8" s="91"/>
      <c r="B8" s="91"/>
      <c r="C8" s="91"/>
      <c r="D8" s="91"/>
      <c r="E8" s="91"/>
    </row>
    <row r="9" spans="1:10" s="53" customFormat="1" ht="54.75" customHeight="1" x14ac:dyDescent="0.2">
      <c r="A9" s="359" t="s">
        <v>4105</v>
      </c>
      <c r="B9" s="359" t="s">
        <v>4162</v>
      </c>
      <c r="C9" s="366" t="s">
        <v>4177</v>
      </c>
      <c r="D9" s="359" t="s">
        <v>3738</v>
      </c>
      <c r="E9" s="359" t="s">
        <v>3751</v>
      </c>
      <c r="F9" s="360" t="s">
        <v>3746</v>
      </c>
      <c r="G9" s="291" t="s">
        <v>4369</v>
      </c>
      <c r="H9" s="291" t="s">
        <v>4580</v>
      </c>
      <c r="I9" s="291" t="s">
        <v>4360</v>
      </c>
      <c r="J9" s="291" t="s">
        <v>3836</v>
      </c>
    </row>
    <row r="10" spans="1:10" ht="19.899999999999999" customHeight="1" x14ac:dyDescent="0.2">
      <c r="A10" s="861" t="s">
        <v>140</v>
      </c>
      <c r="B10" s="862"/>
      <c r="C10" s="862"/>
      <c r="D10" s="862"/>
      <c r="E10" s="862"/>
      <c r="F10" s="863"/>
      <c r="G10" s="260"/>
      <c r="H10" s="260"/>
    </row>
    <row r="11" spans="1:10" ht="24.6" hidden="1" customHeight="1" x14ac:dyDescent="0.2">
      <c r="A11" s="71">
        <v>1</v>
      </c>
      <c r="B11" s="71" t="s">
        <v>1069</v>
      </c>
      <c r="C11" s="92">
        <v>1</v>
      </c>
      <c r="D11" s="92">
        <v>5</v>
      </c>
      <c r="E11" s="93">
        <f>C11*(1/D11)</f>
        <v>0.2</v>
      </c>
      <c r="F11" s="94">
        <f>E11/20</f>
        <v>0.01</v>
      </c>
      <c r="G11" s="172">
        <v>6211.14</v>
      </c>
      <c r="H11" s="186">
        <v>0</v>
      </c>
      <c r="I11" s="172">
        <f t="shared" ref="I11:I21" si="0">G11*H11</f>
        <v>0</v>
      </c>
      <c r="J11" s="172">
        <f>F11*I11</f>
        <v>0</v>
      </c>
    </row>
    <row r="12" spans="1:10" ht="24.6" hidden="1" customHeight="1" x14ac:dyDescent="0.2">
      <c r="A12" s="71">
        <v>2</v>
      </c>
      <c r="B12" s="71" t="s">
        <v>3739</v>
      </c>
      <c r="C12" s="92">
        <v>1</v>
      </c>
      <c r="D12" s="92">
        <v>7</v>
      </c>
      <c r="E12" s="93">
        <f t="shared" ref="E12:E35" si="1">C12*(1/D12)</f>
        <v>0.14285714285714285</v>
      </c>
      <c r="F12" s="94">
        <f t="shared" ref="F12:F27" si="2">E12/20</f>
        <v>7.1428571428571426E-3</v>
      </c>
      <c r="G12" s="172">
        <v>2173.86</v>
      </c>
      <c r="H12" s="186">
        <v>0</v>
      </c>
      <c r="I12" s="172">
        <f t="shared" si="0"/>
        <v>0</v>
      </c>
      <c r="J12" s="172">
        <f t="shared" ref="J12:J27" si="3">F12*I12</f>
        <v>0</v>
      </c>
    </row>
    <row r="13" spans="1:10" ht="24.6" hidden="1" customHeight="1" x14ac:dyDescent="0.2">
      <c r="A13" s="71">
        <v>3</v>
      </c>
      <c r="B13" s="71" t="s">
        <v>3740</v>
      </c>
      <c r="C13" s="92">
        <v>1</v>
      </c>
      <c r="D13" s="92">
        <v>7</v>
      </c>
      <c r="E13" s="93">
        <f t="shared" si="1"/>
        <v>0.14285714285714285</v>
      </c>
      <c r="F13" s="94">
        <f t="shared" si="2"/>
        <v>7.1428571428571426E-3</v>
      </c>
      <c r="G13" s="172">
        <v>1523</v>
      </c>
      <c r="H13" s="186">
        <v>0</v>
      </c>
      <c r="I13" s="172">
        <f t="shared" si="0"/>
        <v>0</v>
      </c>
      <c r="J13" s="172">
        <f t="shared" si="3"/>
        <v>0</v>
      </c>
    </row>
    <row r="14" spans="1:10" ht="24.6" hidden="1" customHeight="1" x14ac:dyDescent="0.2">
      <c r="A14" s="71">
        <v>4</v>
      </c>
      <c r="B14" s="71" t="s">
        <v>3741</v>
      </c>
      <c r="C14" s="92">
        <v>1</v>
      </c>
      <c r="D14" s="92">
        <v>7</v>
      </c>
      <c r="E14" s="93">
        <f t="shared" si="1"/>
        <v>0.14285714285714285</v>
      </c>
      <c r="F14" s="94">
        <f t="shared" si="2"/>
        <v>7.1428571428571426E-3</v>
      </c>
      <c r="G14" s="172">
        <v>1511.64</v>
      </c>
      <c r="H14" s="186">
        <v>0</v>
      </c>
      <c r="I14" s="172">
        <f t="shared" si="0"/>
        <v>0</v>
      </c>
      <c r="J14" s="172">
        <f t="shared" si="3"/>
        <v>0</v>
      </c>
    </row>
    <row r="15" spans="1:10" ht="33.6" hidden="1" customHeight="1" x14ac:dyDescent="0.2">
      <c r="A15" s="71">
        <v>5</v>
      </c>
      <c r="B15" s="71" t="s">
        <v>1369</v>
      </c>
      <c r="C15" s="92">
        <v>10</v>
      </c>
      <c r="D15" s="92">
        <v>7</v>
      </c>
      <c r="E15" s="93">
        <f t="shared" si="1"/>
        <v>1.4285714285714284</v>
      </c>
      <c r="F15" s="94">
        <f t="shared" si="2"/>
        <v>7.1428571428571425E-2</v>
      </c>
      <c r="G15" s="172">
        <v>1803.36</v>
      </c>
      <c r="H15" s="186">
        <v>0</v>
      </c>
      <c r="I15" s="172">
        <f t="shared" si="0"/>
        <v>0</v>
      </c>
      <c r="J15" s="172">
        <f t="shared" si="3"/>
        <v>0</v>
      </c>
    </row>
    <row r="16" spans="1:10" ht="24.6" hidden="1" customHeight="1" x14ac:dyDescent="0.2">
      <c r="A16" s="71">
        <v>6</v>
      </c>
      <c r="B16" s="71" t="s">
        <v>1371</v>
      </c>
      <c r="C16" s="92">
        <v>20</v>
      </c>
      <c r="D16" s="92">
        <v>7</v>
      </c>
      <c r="E16" s="93">
        <f t="shared" si="1"/>
        <v>2.8571428571428568</v>
      </c>
      <c r="F16" s="94">
        <f t="shared" si="2"/>
        <v>0.14285714285714285</v>
      </c>
      <c r="G16" s="172">
        <v>670.02</v>
      </c>
      <c r="H16" s="186">
        <v>0</v>
      </c>
      <c r="I16" s="172">
        <f t="shared" si="0"/>
        <v>0</v>
      </c>
      <c r="J16" s="172">
        <f t="shared" si="3"/>
        <v>0</v>
      </c>
    </row>
    <row r="17" spans="1:11" ht="24.6" hidden="1" customHeight="1" x14ac:dyDescent="0.2">
      <c r="A17" s="71">
        <v>7</v>
      </c>
      <c r="B17" s="71" t="s">
        <v>1081</v>
      </c>
      <c r="C17" s="92">
        <v>2</v>
      </c>
      <c r="D17" s="92">
        <v>7</v>
      </c>
      <c r="E17" s="93">
        <f t="shared" si="1"/>
        <v>0.2857142857142857</v>
      </c>
      <c r="F17" s="94">
        <f t="shared" si="2"/>
        <v>1.4285714285714285E-2</v>
      </c>
      <c r="G17" s="172">
        <v>3007.68</v>
      </c>
      <c r="H17" s="186">
        <v>0</v>
      </c>
      <c r="I17" s="172">
        <f t="shared" si="0"/>
        <v>0</v>
      </c>
      <c r="J17" s="172">
        <f t="shared" si="3"/>
        <v>0</v>
      </c>
    </row>
    <row r="18" spans="1:11" ht="30.6" customHeight="1" x14ac:dyDescent="0.2">
      <c r="A18" s="137">
        <v>1</v>
      </c>
      <c r="B18" s="137" t="s">
        <v>3742</v>
      </c>
      <c r="C18" s="500">
        <v>2</v>
      </c>
      <c r="D18" s="500">
        <v>7</v>
      </c>
      <c r="E18" s="501">
        <f t="shared" si="1"/>
        <v>0.2857142857142857</v>
      </c>
      <c r="F18" s="502">
        <f>E18/20</f>
        <v>1.4285714285714285E-2</v>
      </c>
      <c r="G18" s="497">
        <v>4020</v>
      </c>
      <c r="H18" s="399">
        <v>1</v>
      </c>
      <c r="I18" s="497">
        <f t="shared" si="0"/>
        <v>4020</v>
      </c>
      <c r="J18" s="497">
        <f t="shared" si="3"/>
        <v>57.428571428571423</v>
      </c>
    </row>
    <row r="19" spans="1:11" ht="24.6" customHeight="1" x14ac:dyDescent="0.2">
      <c r="A19" s="137">
        <v>2</v>
      </c>
      <c r="B19" s="137" t="s">
        <v>3747</v>
      </c>
      <c r="C19" s="500">
        <v>20</v>
      </c>
      <c r="D19" s="500">
        <v>7</v>
      </c>
      <c r="E19" s="501">
        <f t="shared" si="1"/>
        <v>2.8571428571428568</v>
      </c>
      <c r="F19" s="502">
        <f t="shared" si="2"/>
        <v>0.14285714285714285</v>
      </c>
      <c r="G19" s="497">
        <v>2230</v>
      </c>
      <c r="H19" s="399">
        <f>$H$18</f>
        <v>1</v>
      </c>
      <c r="I19" s="497">
        <f t="shared" si="0"/>
        <v>2230</v>
      </c>
      <c r="J19" s="497">
        <f t="shared" si="3"/>
        <v>318.57142857142856</v>
      </c>
      <c r="K19" s="865" t="s">
        <v>3912</v>
      </c>
    </row>
    <row r="20" spans="1:11" ht="24.6" hidden="1" customHeight="1" x14ac:dyDescent="0.2">
      <c r="A20" s="137">
        <v>10</v>
      </c>
      <c r="B20" s="137" t="s">
        <v>3743</v>
      </c>
      <c r="C20" s="500">
        <v>8</v>
      </c>
      <c r="D20" s="500">
        <v>7</v>
      </c>
      <c r="E20" s="501">
        <f t="shared" si="1"/>
        <v>1.1428571428571428</v>
      </c>
      <c r="F20" s="502">
        <f t="shared" si="2"/>
        <v>5.7142857142857141E-2</v>
      </c>
      <c r="G20" s="497">
        <v>5810</v>
      </c>
      <c r="H20" s="399">
        <f t="shared" ref="H20:H34" si="4">$H$18</f>
        <v>1</v>
      </c>
      <c r="I20" s="497">
        <f t="shared" si="0"/>
        <v>5810</v>
      </c>
      <c r="J20" s="497"/>
      <c r="K20" s="865"/>
    </row>
    <row r="21" spans="1:11" ht="24.6" customHeight="1" x14ac:dyDescent="0.2">
      <c r="A21" s="137">
        <v>3</v>
      </c>
      <c r="B21" s="137" t="s">
        <v>3744</v>
      </c>
      <c r="C21" s="500">
        <v>1</v>
      </c>
      <c r="D21" s="500">
        <v>7</v>
      </c>
      <c r="E21" s="501">
        <f t="shared" si="1"/>
        <v>0.14285714285714285</v>
      </c>
      <c r="F21" s="502">
        <f t="shared" si="2"/>
        <v>7.1428571428571426E-3</v>
      </c>
      <c r="G21" s="497">
        <v>14670</v>
      </c>
      <c r="H21" s="399">
        <f t="shared" si="4"/>
        <v>1</v>
      </c>
      <c r="I21" s="497">
        <f t="shared" si="0"/>
        <v>14670</v>
      </c>
      <c r="J21" s="497">
        <f t="shared" si="3"/>
        <v>104.78571428571428</v>
      </c>
      <c r="K21" s="865"/>
    </row>
    <row r="22" spans="1:11" ht="24.6" customHeight="1" x14ac:dyDescent="0.2">
      <c r="A22" s="137">
        <v>4</v>
      </c>
      <c r="B22" s="137" t="s">
        <v>4338</v>
      </c>
      <c r="C22" s="500">
        <v>8</v>
      </c>
      <c r="D22" s="500">
        <v>7</v>
      </c>
      <c r="E22" s="501">
        <f t="shared" si="1"/>
        <v>1.1428571428571428</v>
      </c>
      <c r="F22" s="502">
        <f t="shared" si="2"/>
        <v>5.7142857142857141E-2</v>
      </c>
      <c r="G22" s="497">
        <v>5661</v>
      </c>
      <c r="H22" s="399">
        <v>1</v>
      </c>
      <c r="I22" s="497">
        <f t="shared" ref="I22:I27" si="5">G22*H22</f>
        <v>5661</v>
      </c>
      <c r="J22" s="497">
        <f t="shared" si="3"/>
        <v>323.48571428571427</v>
      </c>
      <c r="K22" s="365"/>
    </row>
    <row r="23" spans="1:11" ht="24.6" customHeight="1" x14ac:dyDescent="0.2">
      <c r="A23" s="137">
        <v>5</v>
      </c>
      <c r="B23" s="137" t="s">
        <v>4339</v>
      </c>
      <c r="C23" s="500">
        <v>8</v>
      </c>
      <c r="D23" s="500">
        <v>7</v>
      </c>
      <c r="E23" s="501">
        <f t="shared" si="1"/>
        <v>1.1428571428571428</v>
      </c>
      <c r="F23" s="502">
        <f t="shared" si="2"/>
        <v>5.7142857142857141E-2</v>
      </c>
      <c r="G23" s="497">
        <v>9000</v>
      </c>
      <c r="H23" s="399">
        <v>1</v>
      </c>
      <c r="I23" s="497">
        <f t="shared" si="5"/>
        <v>9000</v>
      </c>
      <c r="J23" s="497">
        <f t="shared" si="3"/>
        <v>514.28571428571422</v>
      </c>
      <c r="K23" s="365"/>
    </row>
    <row r="24" spans="1:11" ht="24.6" customHeight="1" x14ac:dyDescent="0.2">
      <c r="A24" s="137">
        <v>6</v>
      </c>
      <c r="B24" s="137" t="s">
        <v>4340</v>
      </c>
      <c r="C24" s="500">
        <v>5</v>
      </c>
      <c r="D24" s="500">
        <v>7</v>
      </c>
      <c r="E24" s="501">
        <f t="shared" si="1"/>
        <v>0.71428571428571419</v>
      </c>
      <c r="F24" s="502">
        <f t="shared" si="2"/>
        <v>3.5714285714285712E-2</v>
      </c>
      <c r="G24" s="497">
        <v>15000</v>
      </c>
      <c r="H24" s="399">
        <v>1</v>
      </c>
      <c r="I24" s="497">
        <f t="shared" si="5"/>
        <v>15000</v>
      </c>
      <c r="J24" s="497">
        <f t="shared" si="3"/>
        <v>535.71428571428567</v>
      </c>
      <c r="K24" s="365"/>
    </row>
    <row r="25" spans="1:11" ht="24.6" customHeight="1" x14ac:dyDescent="0.2">
      <c r="A25" s="137">
        <v>7</v>
      </c>
      <c r="B25" s="137" t="s">
        <v>4341</v>
      </c>
      <c r="C25" s="500">
        <v>8</v>
      </c>
      <c r="D25" s="500">
        <v>7</v>
      </c>
      <c r="E25" s="501">
        <f t="shared" si="1"/>
        <v>1.1428571428571428</v>
      </c>
      <c r="F25" s="502">
        <f t="shared" si="2"/>
        <v>5.7142857142857141E-2</v>
      </c>
      <c r="G25" s="497">
        <v>2440</v>
      </c>
      <c r="H25" s="399">
        <v>1</v>
      </c>
      <c r="I25" s="497">
        <f t="shared" si="5"/>
        <v>2440</v>
      </c>
      <c r="J25" s="497">
        <f t="shared" si="3"/>
        <v>139.42857142857142</v>
      </c>
      <c r="K25" s="365"/>
    </row>
    <row r="26" spans="1:11" ht="24.6" customHeight="1" x14ac:dyDescent="0.2">
      <c r="A26" s="137">
        <v>8</v>
      </c>
      <c r="B26" s="137" t="s">
        <v>4342</v>
      </c>
      <c r="C26" s="500">
        <v>1</v>
      </c>
      <c r="D26" s="500">
        <v>7</v>
      </c>
      <c r="E26" s="501">
        <f t="shared" si="1"/>
        <v>0.14285714285714285</v>
      </c>
      <c r="F26" s="502">
        <f t="shared" si="2"/>
        <v>7.1428571428571426E-3</v>
      </c>
      <c r="G26" s="497">
        <v>18400</v>
      </c>
      <c r="H26" s="399">
        <v>1</v>
      </c>
      <c r="I26" s="497">
        <f t="shared" si="5"/>
        <v>18400</v>
      </c>
      <c r="J26" s="497">
        <f t="shared" si="3"/>
        <v>131.42857142857142</v>
      </c>
      <c r="K26" s="365"/>
    </row>
    <row r="27" spans="1:11" ht="24.6" customHeight="1" x14ac:dyDescent="0.2">
      <c r="A27" s="137">
        <v>9</v>
      </c>
      <c r="B27" s="137" t="s">
        <v>4343</v>
      </c>
      <c r="C27" s="500">
        <v>1</v>
      </c>
      <c r="D27" s="500">
        <v>7</v>
      </c>
      <c r="E27" s="501">
        <f t="shared" si="1"/>
        <v>0.14285714285714285</v>
      </c>
      <c r="F27" s="502">
        <f t="shared" si="2"/>
        <v>7.1428571428571426E-3</v>
      </c>
      <c r="G27" s="497">
        <v>4020</v>
      </c>
      <c r="H27" s="399">
        <v>1</v>
      </c>
      <c r="I27" s="497">
        <f t="shared" si="5"/>
        <v>4020</v>
      </c>
      <c r="J27" s="497">
        <f t="shared" si="3"/>
        <v>28.714285714285712</v>
      </c>
      <c r="K27" s="365"/>
    </row>
    <row r="28" spans="1:11" ht="24.6" customHeight="1" x14ac:dyDescent="0.2">
      <c r="A28" s="137"/>
      <c r="B28" s="137" t="s">
        <v>3825</v>
      </c>
      <c r="C28" s="500"/>
      <c r="D28" s="500"/>
      <c r="E28" s="501"/>
      <c r="F28" s="502"/>
      <c r="G28" s="497"/>
      <c r="H28" s="399"/>
      <c r="I28" s="497"/>
      <c r="J28" s="497">
        <f>SUM(J11:J27)</f>
        <v>2153.8428571428567</v>
      </c>
      <c r="K28" s="365"/>
    </row>
    <row r="29" spans="1:11" ht="24.6" customHeight="1" x14ac:dyDescent="0.2">
      <c r="A29" s="855" t="s">
        <v>4185</v>
      </c>
      <c r="B29" s="856"/>
      <c r="C29" s="856"/>
      <c r="D29" s="856"/>
      <c r="E29" s="856"/>
      <c r="F29" s="856"/>
      <c r="G29" s="856"/>
      <c r="H29" s="856"/>
      <c r="I29" s="856"/>
      <c r="J29" s="857"/>
      <c r="K29" s="365"/>
    </row>
    <row r="30" spans="1:11" ht="24.6" customHeight="1" x14ac:dyDescent="0.2">
      <c r="A30" s="137">
        <v>1</v>
      </c>
      <c r="B30" s="137" t="s">
        <v>3290</v>
      </c>
      <c r="C30" s="500">
        <v>1</v>
      </c>
      <c r="D30" s="500">
        <v>3</v>
      </c>
      <c r="E30" s="501">
        <f t="shared" si="1"/>
        <v>0.33333333333333331</v>
      </c>
      <c r="F30" s="502">
        <f>E30/283</f>
        <v>1.1778563015312131E-3</v>
      </c>
      <c r="G30" s="497">
        <v>41556.660000000003</v>
      </c>
      <c r="H30" s="399">
        <f t="shared" si="4"/>
        <v>1</v>
      </c>
      <c r="I30" s="497">
        <f t="shared" ref="I30:I34" si="6">G30*H30</f>
        <v>41556.660000000003</v>
      </c>
      <c r="J30" s="497">
        <f t="shared" ref="J30:J35" si="7">F30*I30</f>
        <v>48.947773851590107</v>
      </c>
      <c r="K30" s="365"/>
    </row>
    <row r="31" spans="1:11" ht="24.6" customHeight="1" x14ac:dyDescent="0.2">
      <c r="A31" s="137">
        <v>2</v>
      </c>
      <c r="B31" s="137" t="s">
        <v>4186</v>
      </c>
      <c r="C31" s="500">
        <v>1</v>
      </c>
      <c r="D31" s="500">
        <v>5</v>
      </c>
      <c r="E31" s="501">
        <f t="shared" si="1"/>
        <v>0.2</v>
      </c>
      <c r="F31" s="502">
        <f t="shared" ref="F31:F35" si="8">E31/283</f>
        <v>7.0671378091872799E-4</v>
      </c>
      <c r="G31" s="497">
        <v>13200</v>
      </c>
      <c r="H31" s="399">
        <f t="shared" si="4"/>
        <v>1</v>
      </c>
      <c r="I31" s="497">
        <f t="shared" si="6"/>
        <v>13200</v>
      </c>
      <c r="J31" s="497">
        <f t="shared" si="7"/>
        <v>9.328621908127209</v>
      </c>
      <c r="K31" s="365"/>
    </row>
    <row r="32" spans="1:11" ht="24.6" customHeight="1" x14ac:dyDescent="0.2">
      <c r="A32" s="137">
        <v>3</v>
      </c>
      <c r="B32" s="137" t="s">
        <v>4176</v>
      </c>
      <c r="C32" s="500">
        <v>2</v>
      </c>
      <c r="D32" s="500">
        <v>9</v>
      </c>
      <c r="E32" s="501">
        <f t="shared" si="1"/>
        <v>0.22222222222222221</v>
      </c>
      <c r="F32" s="502">
        <f t="shared" si="8"/>
        <v>7.8523753435414203E-4</v>
      </c>
      <c r="G32" s="497">
        <v>62823.58</v>
      </c>
      <c r="H32" s="399">
        <f t="shared" si="4"/>
        <v>1</v>
      </c>
      <c r="I32" s="497">
        <f t="shared" si="6"/>
        <v>62823.58</v>
      </c>
      <c r="J32" s="497">
        <f t="shared" si="7"/>
        <v>49.331433058500188</v>
      </c>
      <c r="K32" s="365"/>
    </row>
    <row r="33" spans="1:11" ht="24.6" customHeight="1" x14ac:dyDescent="0.2">
      <c r="A33" s="137">
        <v>4</v>
      </c>
      <c r="B33" s="137" t="s">
        <v>2567</v>
      </c>
      <c r="C33" s="500">
        <v>3</v>
      </c>
      <c r="D33" s="500">
        <v>9</v>
      </c>
      <c r="E33" s="501">
        <f t="shared" si="1"/>
        <v>0.33333333333333331</v>
      </c>
      <c r="F33" s="502">
        <f t="shared" si="8"/>
        <v>1.1778563015312131E-3</v>
      </c>
      <c r="G33" s="497">
        <v>17825</v>
      </c>
      <c r="H33" s="399">
        <f t="shared" si="4"/>
        <v>1</v>
      </c>
      <c r="I33" s="497">
        <f t="shared" si="6"/>
        <v>17825</v>
      </c>
      <c r="J33" s="497">
        <f t="shared" si="7"/>
        <v>20.995288574793875</v>
      </c>
      <c r="K33" s="365"/>
    </row>
    <row r="34" spans="1:11" ht="41.25" customHeight="1" x14ac:dyDescent="0.2">
      <c r="A34" s="137">
        <v>5</v>
      </c>
      <c r="B34" s="137" t="s">
        <v>4178</v>
      </c>
      <c r="C34" s="500">
        <v>6</v>
      </c>
      <c r="D34" s="500">
        <v>3</v>
      </c>
      <c r="E34" s="501">
        <f t="shared" si="1"/>
        <v>2</v>
      </c>
      <c r="F34" s="502">
        <f t="shared" si="8"/>
        <v>7.0671378091872791E-3</v>
      </c>
      <c r="G34" s="497">
        <v>32555</v>
      </c>
      <c r="H34" s="399">
        <f t="shared" si="4"/>
        <v>1</v>
      </c>
      <c r="I34" s="497">
        <f t="shared" si="6"/>
        <v>32555</v>
      </c>
      <c r="J34" s="497">
        <f t="shared" si="7"/>
        <v>230.07067137809187</v>
      </c>
      <c r="K34" s="365"/>
    </row>
    <row r="35" spans="1:11" s="504" customFormat="1" ht="41.25" customHeight="1" x14ac:dyDescent="0.2">
      <c r="A35" s="137">
        <v>6</v>
      </c>
      <c r="B35" s="137" t="s">
        <v>4344</v>
      </c>
      <c r="C35" s="500">
        <v>1</v>
      </c>
      <c r="D35" s="500">
        <v>7</v>
      </c>
      <c r="E35" s="501">
        <f t="shared" si="1"/>
        <v>0.14285714285714285</v>
      </c>
      <c r="F35" s="502">
        <f t="shared" si="8"/>
        <v>5.0479555779909136E-4</v>
      </c>
      <c r="G35" s="497">
        <v>4020</v>
      </c>
      <c r="H35" s="399">
        <v>1</v>
      </c>
      <c r="I35" s="497">
        <f>G35*H35</f>
        <v>4020</v>
      </c>
      <c r="J35" s="497">
        <f t="shared" si="7"/>
        <v>2.0292781423523474</v>
      </c>
      <c r="K35" s="503"/>
    </row>
    <row r="36" spans="1:11" ht="24.6" customHeight="1" x14ac:dyDescent="0.2">
      <c r="A36" s="71"/>
      <c r="B36" s="71" t="s">
        <v>3825</v>
      </c>
      <c r="C36" s="92"/>
      <c r="D36" s="92"/>
      <c r="E36" s="93"/>
      <c r="F36" s="94"/>
      <c r="G36" s="172"/>
      <c r="H36" s="186"/>
      <c r="I36" s="172"/>
      <c r="J36" s="172">
        <f>SUM(J30:J35)</f>
        <v>360.70306691345559</v>
      </c>
      <c r="K36" s="365"/>
    </row>
    <row r="37" spans="1:11" ht="24.6" customHeight="1" x14ac:dyDescent="0.2">
      <c r="A37" s="861" t="s">
        <v>4179</v>
      </c>
      <c r="B37" s="862"/>
      <c r="C37" s="862"/>
      <c r="D37" s="862"/>
      <c r="E37" s="862"/>
      <c r="F37" s="862"/>
      <c r="G37" s="862"/>
      <c r="H37" s="862"/>
      <c r="I37" s="862"/>
      <c r="J37" s="863"/>
      <c r="K37" s="365"/>
    </row>
    <row r="38" spans="1:11" ht="24.6" customHeight="1" x14ac:dyDescent="0.2">
      <c r="A38" s="71"/>
      <c r="B38" s="71" t="s">
        <v>4180</v>
      </c>
      <c r="C38" s="92">
        <v>2</v>
      </c>
      <c r="D38" s="92">
        <v>9</v>
      </c>
      <c r="E38" s="93">
        <f t="shared" ref="E38:E42" si="9">C38*(1/D38)</f>
        <v>0.22222222222222221</v>
      </c>
      <c r="F38" s="94">
        <f>E38/283</f>
        <v>7.8523753435414203E-4</v>
      </c>
      <c r="G38" s="497">
        <v>92610</v>
      </c>
      <c r="H38" s="186">
        <f t="shared" ref="H38:H42" si="10">$H$18</f>
        <v>1</v>
      </c>
      <c r="I38" s="172">
        <f t="shared" ref="I38:I42" si="11">G38*H38</f>
        <v>92610</v>
      </c>
      <c r="J38" s="172">
        <f t="shared" ref="J38:J42" si="12">F38*I38</f>
        <v>72.720848056537093</v>
      </c>
      <c r="K38" s="365"/>
    </row>
    <row r="39" spans="1:11" ht="24.6" customHeight="1" x14ac:dyDescent="0.2">
      <c r="A39" s="71"/>
      <c r="B39" s="71" t="s">
        <v>4181</v>
      </c>
      <c r="C39" s="92">
        <v>1</v>
      </c>
      <c r="D39" s="92">
        <v>9</v>
      </c>
      <c r="E39" s="93">
        <f t="shared" si="9"/>
        <v>0.1111111111111111</v>
      </c>
      <c r="F39" s="94">
        <f t="shared" ref="F39:F42" si="13">E39/283</f>
        <v>3.9261876717707102E-4</v>
      </c>
      <c r="G39" s="497">
        <v>59351</v>
      </c>
      <c r="H39" s="186">
        <f t="shared" si="10"/>
        <v>1</v>
      </c>
      <c r="I39" s="172">
        <f t="shared" si="11"/>
        <v>59351</v>
      </c>
      <c r="J39" s="172">
        <f t="shared" si="12"/>
        <v>23.302316450726341</v>
      </c>
      <c r="K39" s="365"/>
    </row>
    <row r="40" spans="1:11" ht="24.6" customHeight="1" x14ac:dyDescent="0.2">
      <c r="A40" s="71"/>
      <c r="B40" s="71" t="s">
        <v>4182</v>
      </c>
      <c r="C40" s="92">
        <v>1</v>
      </c>
      <c r="D40" s="92">
        <v>9</v>
      </c>
      <c r="E40" s="93">
        <f t="shared" si="9"/>
        <v>0.1111111111111111</v>
      </c>
      <c r="F40" s="94">
        <f t="shared" si="13"/>
        <v>3.9261876717707102E-4</v>
      </c>
      <c r="G40" s="497">
        <v>29900</v>
      </c>
      <c r="H40" s="186">
        <f t="shared" si="10"/>
        <v>1</v>
      </c>
      <c r="I40" s="172">
        <f t="shared" si="11"/>
        <v>29900</v>
      </c>
      <c r="J40" s="172">
        <f t="shared" si="12"/>
        <v>11.739301138594424</v>
      </c>
      <c r="K40" s="365"/>
    </row>
    <row r="41" spans="1:11" ht="24.6" customHeight="1" x14ac:dyDescent="0.2">
      <c r="A41" s="71"/>
      <c r="B41" s="71" t="s">
        <v>4183</v>
      </c>
      <c r="C41" s="92">
        <v>3</v>
      </c>
      <c r="D41" s="92">
        <v>4</v>
      </c>
      <c r="E41" s="93">
        <f t="shared" si="9"/>
        <v>0.75</v>
      </c>
      <c r="F41" s="94">
        <f t="shared" si="13"/>
        <v>2.6501766784452299E-3</v>
      </c>
      <c r="G41" s="497">
        <v>4055.5</v>
      </c>
      <c r="H41" s="186">
        <f t="shared" si="10"/>
        <v>1</v>
      </c>
      <c r="I41" s="172">
        <f t="shared" si="11"/>
        <v>4055.5</v>
      </c>
      <c r="J41" s="172">
        <f t="shared" si="12"/>
        <v>10.74779151943463</v>
      </c>
      <c r="K41" s="365"/>
    </row>
    <row r="42" spans="1:11" ht="24.6" customHeight="1" x14ac:dyDescent="0.2">
      <c r="A42" s="71"/>
      <c r="B42" s="71" t="s">
        <v>4184</v>
      </c>
      <c r="C42" s="92">
        <v>1</v>
      </c>
      <c r="D42" s="92">
        <v>10</v>
      </c>
      <c r="E42" s="93">
        <f t="shared" si="9"/>
        <v>0.1</v>
      </c>
      <c r="F42" s="94">
        <f t="shared" si="13"/>
        <v>3.53356890459364E-4</v>
      </c>
      <c r="G42" s="497">
        <v>7495.44</v>
      </c>
      <c r="H42" s="186">
        <f t="shared" si="10"/>
        <v>1</v>
      </c>
      <c r="I42" s="172">
        <f t="shared" si="11"/>
        <v>7495.44</v>
      </c>
      <c r="J42" s="172">
        <f t="shared" si="12"/>
        <v>2.648565371024735</v>
      </c>
      <c r="K42" s="365"/>
    </row>
    <row r="43" spans="1:11" ht="24.6" customHeight="1" x14ac:dyDescent="0.2">
      <c r="A43" s="71"/>
      <c r="B43" s="71" t="s">
        <v>3825</v>
      </c>
      <c r="C43" s="92"/>
      <c r="D43" s="92"/>
      <c r="E43" s="93"/>
      <c r="F43" s="94"/>
      <c r="G43" s="172"/>
      <c r="H43" s="186"/>
      <c r="I43" s="172"/>
      <c r="J43" s="172">
        <f>SUM(J38:J42)</f>
        <v>121.15882253631722</v>
      </c>
      <c r="K43" s="365"/>
    </row>
    <row r="44" spans="1:11" ht="15" x14ac:dyDescent="0.2">
      <c r="A44" s="131"/>
      <c r="B44" s="71" t="s">
        <v>3825</v>
      </c>
      <c r="C44" s="131"/>
      <c r="D44" s="131"/>
      <c r="E44" s="131"/>
      <c r="F44" s="131"/>
      <c r="G44" s="173"/>
      <c r="H44" s="173"/>
      <c r="I44" s="173"/>
      <c r="J44" s="173">
        <f>J28+J36+J43</f>
        <v>2635.7047465926294</v>
      </c>
    </row>
  </sheetData>
  <mergeCells count="9">
    <mergeCell ref="A29:J29"/>
    <mergeCell ref="A37:J37"/>
    <mergeCell ref="K19:K21"/>
    <mergeCell ref="B1:F1"/>
    <mergeCell ref="G1:J1"/>
    <mergeCell ref="B2:F2"/>
    <mergeCell ref="G2:J2"/>
    <mergeCell ref="B7:J7"/>
    <mergeCell ref="A10:F10"/>
  </mergeCells>
  <pageMargins left="0.6692913385826772" right="0.23622047244094491" top="0.74803149606299213" bottom="0.74803149606299213" header="0.31496062992125984" footer="0.31496062992125984"/>
  <pageSetup paperSize="9" scale="72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30"/>
  <sheetViews>
    <sheetView view="pageBreakPreview" zoomScale="80" zoomScaleSheetLayoutView="80" workbookViewId="0">
      <selection activeCell="U41" sqref="U41"/>
    </sheetView>
  </sheetViews>
  <sheetFormatPr defaultRowHeight="12.75" x14ac:dyDescent="0.2"/>
  <cols>
    <col min="1" max="1" width="4.28515625" customWidth="1"/>
    <col min="2" max="2" width="46.5703125" bestFit="1" customWidth="1"/>
    <col min="3" max="3" width="6.140625" customWidth="1"/>
    <col min="4" max="4" width="13.42578125" bestFit="1" customWidth="1"/>
    <col min="5" max="5" width="10" bestFit="1" customWidth="1"/>
    <col min="6" max="6" width="10.42578125" bestFit="1" customWidth="1"/>
    <col min="7" max="7" width="16.5703125" customWidth="1"/>
    <col min="8" max="8" width="10.140625" customWidth="1"/>
    <col min="9" max="9" width="14.42578125" customWidth="1"/>
    <col min="10" max="10" width="13" customWidth="1"/>
  </cols>
  <sheetData>
    <row r="1" spans="1:11" s="24" customFormat="1" ht="15" x14ac:dyDescent="0.2">
      <c r="B1" s="850"/>
      <c r="C1" s="850"/>
      <c r="D1" s="850"/>
      <c r="E1" s="850"/>
      <c r="F1" s="850"/>
      <c r="G1" s="801" t="s">
        <v>4725</v>
      </c>
      <c r="H1" s="801"/>
      <c r="I1" s="801"/>
      <c r="J1" s="801"/>
    </row>
    <row r="2" spans="1:11" s="24" customFormat="1" ht="15" x14ac:dyDescent="0.2">
      <c r="B2" s="850"/>
      <c r="C2" s="850"/>
      <c r="D2" s="850"/>
      <c r="E2" s="850"/>
      <c r="F2" s="850"/>
      <c r="G2" s="801" t="s">
        <v>4586</v>
      </c>
      <c r="H2" s="801"/>
      <c r="I2" s="801"/>
      <c r="J2" s="801"/>
    </row>
    <row r="3" spans="1:11" s="24" customFormat="1" ht="15" x14ac:dyDescent="0.2"/>
    <row r="4" spans="1:11" s="24" customFormat="1" ht="15" x14ac:dyDescent="0.2"/>
    <row r="5" spans="1:11" s="24" customFormat="1" ht="15" x14ac:dyDescent="0.2"/>
    <row r="6" spans="1:11" ht="15.75" x14ac:dyDescent="0.25">
      <c r="A6" s="10"/>
      <c r="B6" s="10"/>
      <c r="C6" s="10"/>
      <c r="D6" s="10"/>
      <c r="E6" s="10"/>
    </row>
    <row r="7" spans="1:11" ht="33" customHeight="1" x14ac:dyDescent="0.2">
      <c r="A7" s="11"/>
      <c r="B7" s="787" t="s">
        <v>3838</v>
      </c>
      <c r="C7" s="787"/>
      <c r="D7" s="787"/>
      <c r="E7" s="787"/>
      <c r="F7" s="787"/>
      <c r="G7" s="787"/>
      <c r="H7" s="787"/>
      <c r="I7" s="787"/>
      <c r="J7" s="787"/>
    </row>
    <row r="8" spans="1:11" x14ac:dyDescent="0.2">
      <c r="A8" s="12"/>
      <c r="B8" s="12"/>
      <c r="C8" s="12"/>
      <c r="D8" s="12"/>
      <c r="E8" s="12"/>
    </row>
    <row r="9" spans="1:11" s="53" customFormat="1" ht="63.75" customHeight="1" thickBot="1" x14ac:dyDescent="0.25">
      <c r="A9" s="302" t="s">
        <v>4105</v>
      </c>
      <c r="B9" s="302" t="s">
        <v>121</v>
      </c>
      <c r="C9" s="302" t="s">
        <v>4161</v>
      </c>
      <c r="D9" s="302" t="s">
        <v>3738</v>
      </c>
      <c r="E9" s="302" t="s">
        <v>3734</v>
      </c>
      <c r="F9" s="303" t="s">
        <v>3736</v>
      </c>
      <c r="G9" s="291" t="s">
        <v>4369</v>
      </c>
      <c r="H9" s="291" t="s">
        <v>4580</v>
      </c>
      <c r="I9" s="291" t="s">
        <v>4360</v>
      </c>
      <c r="J9" s="304" t="s">
        <v>3836</v>
      </c>
    </row>
    <row r="10" spans="1:11" s="95" customFormat="1" ht="24.6" customHeight="1" thickBot="1" x14ac:dyDescent="0.25">
      <c r="A10" s="866" t="s">
        <v>140</v>
      </c>
      <c r="B10" s="867"/>
      <c r="C10" s="867"/>
      <c r="D10" s="867"/>
      <c r="E10" s="867"/>
      <c r="F10" s="868"/>
      <c r="G10" s="261"/>
      <c r="H10" s="261"/>
    </row>
    <row r="11" spans="1:11" ht="24.6" hidden="1" customHeight="1" x14ac:dyDescent="0.2">
      <c r="A11" s="71">
        <v>1</v>
      </c>
      <c r="B11" s="71" t="s">
        <v>1069</v>
      </c>
      <c r="C11" s="70">
        <v>1</v>
      </c>
      <c r="D11" s="70">
        <v>5</v>
      </c>
      <c r="E11" s="76">
        <f>C11*(1/D11)</f>
        <v>0.2</v>
      </c>
      <c r="F11" s="77">
        <f>E11/26</f>
        <v>7.6923076923076927E-3</v>
      </c>
      <c r="G11" s="186">
        <v>6211.14</v>
      </c>
      <c r="H11" s="186">
        <v>1</v>
      </c>
      <c r="I11" s="186"/>
      <c r="J11" s="186">
        <f>F11*I11</f>
        <v>0</v>
      </c>
    </row>
    <row r="12" spans="1:11" ht="24.6" customHeight="1" x14ac:dyDescent="0.2">
      <c r="A12" s="71"/>
      <c r="B12" s="71" t="s">
        <v>1069</v>
      </c>
      <c r="C12" s="70">
        <v>1</v>
      </c>
      <c r="D12" s="70">
        <v>5</v>
      </c>
      <c r="E12" s="76">
        <f>C12*(1/D12)</f>
        <v>0.2</v>
      </c>
      <c r="F12" s="77">
        <f>E12/26</f>
        <v>7.6923076923076927E-3</v>
      </c>
      <c r="G12" s="497">
        <v>16000</v>
      </c>
      <c r="H12" s="172">
        <v>1</v>
      </c>
      <c r="I12" s="172">
        <f t="shared" ref="I12:I23" si="0">G12*H12</f>
        <v>16000</v>
      </c>
      <c r="J12" s="186">
        <f>F12*I12</f>
        <v>123.07692307692308</v>
      </c>
    </row>
    <row r="13" spans="1:11" ht="24.6" customHeight="1" x14ac:dyDescent="0.2">
      <c r="A13" s="71">
        <v>1</v>
      </c>
      <c r="B13" s="71" t="s">
        <v>1071</v>
      </c>
      <c r="C13" s="70">
        <v>1</v>
      </c>
      <c r="D13" s="70">
        <v>7</v>
      </c>
      <c r="E13" s="76">
        <f>C13*(1/D13)</f>
        <v>0.14285714285714285</v>
      </c>
      <c r="F13" s="77">
        <f>E13/26</f>
        <v>5.4945054945054941E-3</v>
      </c>
      <c r="G13" s="497">
        <v>3363.86</v>
      </c>
      <c r="H13" s="172">
        <v>1</v>
      </c>
      <c r="I13" s="172">
        <f>G13*H13</f>
        <v>3363.86</v>
      </c>
      <c r="J13" s="186">
        <f>F13*I13</f>
        <v>18.482747252747252</v>
      </c>
      <c r="K13">
        <v>18.475000000000001</v>
      </c>
    </row>
    <row r="14" spans="1:11" ht="24.6" customHeight="1" x14ac:dyDescent="0.2">
      <c r="A14" s="71">
        <v>2</v>
      </c>
      <c r="B14" s="71" t="s">
        <v>1073</v>
      </c>
      <c r="C14" s="70">
        <v>1</v>
      </c>
      <c r="D14" s="70">
        <v>7</v>
      </c>
      <c r="E14" s="76">
        <f t="shared" ref="E14:E23" si="1">C14*(1/D14)</f>
        <v>0.14285714285714285</v>
      </c>
      <c r="F14" s="77">
        <f t="shared" ref="F14:F23" si="2">E14/26</f>
        <v>5.4945054945054941E-3</v>
      </c>
      <c r="G14" s="497">
        <v>3363.86</v>
      </c>
      <c r="H14" s="172">
        <v>1</v>
      </c>
      <c r="I14" s="172">
        <f>G14*H14</f>
        <v>3363.86</v>
      </c>
      <c r="J14" s="186">
        <f>F14*I14</f>
        <v>18.482747252747252</v>
      </c>
    </row>
    <row r="15" spans="1:11" ht="24.6" customHeight="1" x14ac:dyDescent="0.2">
      <c r="A15" s="71">
        <v>3</v>
      </c>
      <c r="B15" s="71" t="s">
        <v>1075</v>
      </c>
      <c r="C15" s="70">
        <v>1</v>
      </c>
      <c r="D15" s="70">
        <v>7</v>
      </c>
      <c r="E15" s="76">
        <f t="shared" si="1"/>
        <v>0.14285714285714285</v>
      </c>
      <c r="F15" s="77">
        <f t="shared" si="2"/>
        <v>5.4945054945054941E-3</v>
      </c>
      <c r="G15" s="497">
        <v>15757</v>
      </c>
      <c r="H15" s="172">
        <v>1</v>
      </c>
      <c r="I15" s="172">
        <f t="shared" si="0"/>
        <v>15757</v>
      </c>
      <c r="J15" s="186">
        <f t="shared" ref="J15:J18" si="3">F15*I15</f>
        <v>86.576923076923066</v>
      </c>
    </row>
    <row r="16" spans="1:11" ht="33.6" customHeight="1" x14ac:dyDescent="0.2">
      <c r="A16" s="71">
        <v>4</v>
      </c>
      <c r="B16" s="71" t="s">
        <v>1369</v>
      </c>
      <c r="C16" s="70">
        <v>10</v>
      </c>
      <c r="D16" s="70">
        <v>7</v>
      </c>
      <c r="E16" s="76">
        <f t="shared" si="1"/>
        <v>1.4285714285714284</v>
      </c>
      <c r="F16" s="77">
        <f t="shared" si="2"/>
        <v>5.4945054945054937E-2</v>
      </c>
      <c r="G16" s="497">
        <v>3102</v>
      </c>
      <c r="H16" s="172">
        <v>1</v>
      </c>
      <c r="I16" s="172">
        <f t="shared" si="0"/>
        <v>3102</v>
      </c>
      <c r="J16" s="186">
        <f t="shared" si="3"/>
        <v>170.43956043956041</v>
      </c>
    </row>
    <row r="17" spans="1:12" ht="24.6" customHeight="1" x14ac:dyDescent="0.2">
      <c r="A17" s="71">
        <v>5</v>
      </c>
      <c r="B17" s="71" t="s">
        <v>1371</v>
      </c>
      <c r="C17" s="70">
        <v>20</v>
      </c>
      <c r="D17" s="70">
        <v>7</v>
      </c>
      <c r="E17" s="76">
        <f t="shared" si="1"/>
        <v>2.8571428571428568</v>
      </c>
      <c r="F17" s="77">
        <f t="shared" si="2"/>
        <v>0.10989010989010987</v>
      </c>
      <c r="G17" s="497">
        <v>1200</v>
      </c>
      <c r="H17" s="172">
        <v>1</v>
      </c>
      <c r="I17" s="172">
        <f t="shared" si="0"/>
        <v>1200</v>
      </c>
      <c r="J17" s="186">
        <f t="shared" si="3"/>
        <v>131.86813186813185</v>
      </c>
    </row>
    <row r="18" spans="1:12" ht="24.6" customHeight="1" x14ac:dyDescent="0.2">
      <c r="A18" s="71">
        <v>6</v>
      </c>
      <c r="B18" s="71" t="s">
        <v>1081</v>
      </c>
      <c r="C18" s="70">
        <v>2</v>
      </c>
      <c r="D18" s="70">
        <v>7</v>
      </c>
      <c r="E18" s="76">
        <f t="shared" si="1"/>
        <v>0.2857142857142857</v>
      </c>
      <c r="F18" s="77">
        <f t="shared" si="2"/>
        <v>1.0989010989010988E-2</v>
      </c>
      <c r="G18" s="497">
        <v>4000</v>
      </c>
      <c r="H18" s="172">
        <v>1</v>
      </c>
      <c r="I18" s="172">
        <f t="shared" si="0"/>
        <v>4000</v>
      </c>
      <c r="J18" s="186">
        <f t="shared" si="3"/>
        <v>43.956043956043949</v>
      </c>
    </row>
    <row r="19" spans="1:12" ht="30.6" customHeight="1" x14ac:dyDescent="0.2">
      <c r="A19" s="71">
        <v>7</v>
      </c>
      <c r="B19" s="71" t="s">
        <v>1083</v>
      </c>
      <c r="C19" s="70">
        <v>1</v>
      </c>
      <c r="D19" s="70">
        <v>7</v>
      </c>
      <c r="E19" s="76">
        <f t="shared" si="1"/>
        <v>0.14285714285714285</v>
      </c>
      <c r="F19" s="77">
        <f t="shared" si="2"/>
        <v>5.4945054945054941E-3</v>
      </c>
      <c r="G19" s="497">
        <v>9000</v>
      </c>
      <c r="H19" s="172">
        <v>1</v>
      </c>
      <c r="I19" s="172">
        <f t="shared" si="0"/>
        <v>9000</v>
      </c>
      <c r="J19" s="186">
        <f>F19*I19</f>
        <v>49.450549450549445</v>
      </c>
    </row>
    <row r="20" spans="1:12" ht="24.6" customHeight="1" x14ac:dyDescent="0.2">
      <c r="A20" s="71">
        <v>8</v>
      </c>
      <c r="B20" s="71" t="s">
        <v>1088</v>
      </c>
      <c r="C20" s="70">
        <v>1</v>
      </c>
      <c r="D20" s="70">
        <v>7</v>
      </c>
      <c r="E20" s="76">
        <f t="shared" si="1"/>
        <v>0.14285714285714285</v>
      </c>
      <c r="F20" s="77">
        <f t="shared" si="2"/>
        <v>5.4945054945054941E-3</v>
      </c>
      <c r="G20" s="497">
        <v>3000</v>
      </c>
      <c r="H20" s="172">
        <v>1</v>
      </c>
      <c r="I20" s="172">
        <f t="shared" si="0"/>
        <v>3000</v>
      </c>
      <c r="J20" s="186">
        <f t="shared" ref="J20:J22" si="4">F20*I20</f>
        <v>16.483516483516482</v>
      </c>
    </row>
    <row r="21" spans="1:12" ht="24.6" customHeight="1" x14ac:dyDescent="0.2">
      <c r="A21" s="71">
        <v>9</v>
      </c>
      <c r="B21" s="71" t="s">
        <v>1376</v>
      </c>
      <c r="C21" s="70">
        <v>1</v>
      </c>
      <c r="D21" s="70">
        <v>7</v>
      </c>
      <c r="E21" s="76">
        <f t="shared" si="1"/>
        <v>0.14285714285714285</v>
      </c>
      <c r="F21" s="77">
        <f t="shared" si="2"/>
        <v>5.4945054945054941E-3</v>
      </c>
      <c r="G21" s="334">
        <v>31640</v>
      </c>
      <c r="H21" s="172">
        <v>1</v>
      </c>
      <c r="I21" s="172">
        <f t="shared" si="0"/>
        <v>31640</v>
      </c>
      <c r="J21" s="186">
        <f t="shared" si="4"/>
        <v>173.84615384615384</v>
      </c>
    </row>
    <row r="22" spans="1:12" ht="24.6" customHeight="1" x14ac:dyDescent="0.2">
      <c r="A22" s="71">
        <v>10</v>
      </c>
      <c r="B22" s="71" t="s">
        <v>1275</v>
      </c>
      <c r="C22" s="70">
        <v>1</v>
      </c>
      <c r="D22" s="70">
        <v>7</v>
      </c>
      <c r="E22" s="76">
        <f t="shared" si="1"/>
        <v>0.14285714285714285</v>
      </c>
      <c r="F22" s="77">
        <f t="shared" si="2"/>
        <v>5.4945054945054941E-3</v>
      </c>
      <c r="G22" s="334">
        <v>5515</v>
      </c>
      <c r="H22" s="172">
        <v>1</v>
      </c>
      <c r="I22" s="172">
        <f>G22*H22</f>
        <v>5515</v>
      </c>
      <c r="J22" s="186">
        <f t="shared" si="4"/>
        <v>30.302197802197799</v>
      </c>
    </row>
    <row r="23" spans="1:12" ht="24.6" customHeight="1" x14ac:dyDescent="0.2">
      <c r="A23" s="71">
        <v>11</v>
      </c>
      <c r="B23" s="71" t="s">
        <v>1086</v>
      </c>
      <c r="C23" s="70">
        <v>1</v>
      </c>
      <c r="D23" s="70">
        <v>7</v>
      </c>
      <c r="E23" s="76">
        <f t="shared" si="1"/>
        <v>0.14285714285714285</v>
      </c>
      <c r="F23" s="77">
        <f t="shared" si="2"/>
        <v>5.4945054945054941E-3</v>
      </c>
      <c r="G23" s="334">
        <v>12700</v>
      </c>
      <c r="H23" s="172">
        <v>1</v>
      </c>
      <c r="I23" s="172">
        <f t="shared" si="0"/>
        <v>12700</v>
      </c>
      <c r="J23" s="186">
        <f>F23*I23</f>
        <v>69.780219780219781</v>
      </c>
    </row>
    <row r="24" spans="1:12" ht="24.6" hidden="1" customHeight="1" x14ac:dyDescent="0.2">
      <c r="A24" s="470">
        <v>12</v>
      </c>
      <c r="B24" s="470" t="s">
        <v>4345</v>
      </c>
      <c r="C24" s="475">
        <v>1</v>
      </c>
      <c r="D24" s="475">
        <v>7</v>
      </c>
      <c r="E24" s="476">
        <f t="shared" ref="E24:E25" si="5">C24*(1/D24)</f>
        <v>0.14285714285714285</v>
      </c>
      <c r="F24" s="477">
        <f t="shared" ref="F24:F25" si="6">E24/26</f>
        <v>5.4945054945054941E-3</v>
      </c>
      <c r="G24" s="478">
        <v>3680</v>
      </c>
      <c r="H24" s="478">
        <v>1</v>
      </c>
      <c r="I24" s="478">
        <f t="shared" ref="I24:I25" si="7">G24*H24</f>
        <v>3680</v>
      </c>
      <c r="J24" s="478">
        <f t="shared" ref="J24:J25" si="8">F24*I24</f>
        <v>20.219780219780219</v>
      </c>
    </row>
    <row r="25" spans="1:12" ht="24.6" hidden="1" customHeight="1" x14ac:dyDescent="0.2">
      <c r="A25" s="470">
        <v>13</v>
      </c>
      <c r="B25" s="470" t="s">
        <v>4346</v>
      </c>
      <c r="C25" s="475">
        <v>1</v>
      </c>
      <c r="D25" s="475">
        <v>7</v>
      </c>
      <c r="E25" s="476">
        <f t="shared" si="5"/>
        <v>0.14285714285714285</v>
      </c>
      <c r="F25" s="477">
        <f t="shared" si="6"/>
        <v>5.4945054945054941E-3</v>
      </c>
      <c r="G25" s="478">
        <v>8288</v>
      </c>
      <c r="H25" s="478">
        <v>1</v>
      </c>
      <c r="I25" s="478">
        <f t="shared" si="7"/>
        <v>8288</v>
      </c>
      <c r="J25" s="478">
        <f t="shared" si="8"/>
        <v>45.538461538461533</v>
      </c>
    </row>
    <row r="26" spans="1:12" ht="15" x14ac:dyDescent="0.2">
      <c r="A26" s="81"/>
      <c r="B26" s="137" t="s">
        <v>3825</v>
      </c>
      <c r="C26" s="81"/>
      <c r="D26" s="81"/>
      <c r="E26" s="81"/>
      <c r="F26" s="81"/>
      <c r="G26" s="81"/>
      <c r="H26" s="81"/>
      <c r="I26" s="186"/>
      <c r="J26" s="334">
        <f>SUM(J9:J23)</f>
        <v>932.74571428571426</v>
      </c>
    </row>
    <row r="27" spans="1:12" hidden="1" x14ac:dyDescent="0.2">
      <c r="J27">
        <v>481.83</v>
      </c>
    </row>
    <row r="28" spans="1:12" x14ac:dyDescent="0.2">
      <c r="L28" s="381">
        <f>J26-J30</f>
        <v>1.3810730672503269E-3</v>
      </c>
    </row>
    <row r="30" spans="1:12" x14ac:dyDescent="0.2">
      <c r="J30">
        <v>932.74433321264701</v>
      </c>
    </row>
  </sheetData>
  <mergeCells count="6">
    <mergeCell ref="B1:F1"/>
    <mergeCell ref="B2:F2"/>
    <mergeCell ref="A10:F10"/>
    <mergeCell ref="B7:J7"/>
    <mergeCell ref="G1:J1"/>
    <mergeCell ref="G2:J2"/>
  </mergeCells>
  <pageMargins left="0.65" right="0.25" top="0.22" bottom="0.16" header="0.3" footer="0.3"/>
  <pageSetup paperSize="9" scale="96" orientation="landscape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workbookViewId="0">
      <pane ySplit="7" topLeftCell="A17" activePane="bottomLeft" state="frozenSplit"/>
      <selection activeCell="D11" sqref="D11:D12"/>
      <selection pane="bottomLeft" activeCell="P32" sqref="P32"/>
    </sheetView>
  </sheetViews>
  <sheetFormatPr defaultRowHeight="12.75" x14ac:dyDescent="0.2"/>
  <cols>
    <col min="3" max="3" width="15.42578125" customWidth="1"/>
    <col min="4" max="4" width="6.85546875" customWidth="1"/>
    <col min="5" max="5" width="9.140625" customWidth="1"/>
    <col min="6" max="6" width="8.7109375" customWidth="1"/>
    <col min="7" max="7" width="12.140625" customWidth="1"/>
    <col min="8" max="8" width="9.85546875" customWidth="1"/>
    <col min="9" max="9" width="12.5703125" customWidth="1"/>
    <col min="10" max="10" width="17.7109375" customWidth="1"/>
    <col min="11" max="11" width="14.7109375" customWidth="1"/>
  </cols>
  <sheetData>
    <row r="1" spans="1:13" s="24" customFormat="1" ht="15" x14ac:dyDescent="0.2">
      <c r="I1" s="801" t="s">
        <v>4036</v>
      </c>
      <c r="J1" s="801"/>
      <c r="K1" s="801"/>
    </row>
    <row r="2" spans="1:13" s="24" customFormat="1" ht="15" x14ac:dyDescent="0.2">
      <c r="I2" s="844" t="s">
        <v>68</v>
      </c>
      <c r="J2" s="844"/>
      <c r="K2" s="844"/>
    </row>
    <row r="3" spans="1:13" x14ac:dyDescent="0.2">
      <c r="A3" s="1"/>
      <c r="B3" s="1"/>
      <c r="C3" s="1"/>
      <c r="D3" s="1"/>
      <c r="E3" s="1"/>
    </row>
    <row r="4" spans="1:13" ht="42.75" customHeight="1" x14ac:dyDescent="0.2">
      <c r="A4" s="823" t="s">
        <v>3832</v>
      </c>
      <c r="B4" s="823"/>
      <c r="C4" s="823"/>
      <c r="D4" s="823"/>
      <c r="E4" s="823"/>
      <c r="F4" s="823"/>
      <c r="G4" s="823"/>
      <c r="H4" s="823"/>
      <c r="I4" s="823"/>
      <c r="J4" s="823"/>
      <c r="K4" s="823"/>
    </row>
    <row r="5" spans="1:13" ht="9.75" customHeight="1" x14ac:dyDescent="0.2">
      <c r="B5" s="23"/>
      <c r="C5" s="23"/>
      <c r="D5" s="23"/>
      <c r="E5" s="23"/>
      <c r="F5" s="25"/>
      <c r="G5" s="251"/>
      <c r="H5" s="251"/>
    </row>
    <row r="6" spans="1:13" ht="33" customHeight="1" x14ac:dyDescent="0.2">
      <c r="A6" s="869" t="s">
        <v>0</v>
      </c>
      <c r="B6" s="869"/>
      <c r="C6" s="869"/>
      <c r="D6" s="869"/>
      <c r="E6" s="869" t="s">
        <v>63</v>
      </c>
      <c r="F6" s="869"/>
      <c r="G6" s="291" t="s">
        <v>4197</v>
      </c>
      <c r="H6" s="291" t="s">
        <v>4198</v>
      </c>
      <c r="I6" s="291" t="s">
        <v>4199</v>
      </c>
      <c r="J6" s="870" t="s">
        <v>3826</v>
      </c>
      <c r="K6" s="871"/>
    </row>
    <row r="7" spans="1:13" s="25" customFormat="1" ht="58.5" customHeight="1" x14ac:dyDescent="0.2">
      <c r="A7" s="869"/>
      <c r="B7" s="869"/>
      <c r="C7" s="869"/>
      <c r="D7" s="869"/>
      <c r="E7" s="335" t="s">
        <v>1</v>
      </c>
      <c r="F7" s="335" t="s">
        <v>9</v>
      </c>
      <c r="G7" s="291" t="s">
        <v>4197</v>
      </c>
      <c r="H7" s="291" t="s">
        <v>4198</v>
      </c>
      <c r="I7" s="291" t="s">
        <v>4199</v>
      </c>
      <c r="J7" s="335" t="s">
        <v>4170</v>
      </c>
      <c r="K7" s="335" t="s">
        <v>4171</v>
      </c>
      <c r="L7"/>
      <c r="M7"/>
    </row>
    <row r="8" spans="1:13" x14ac:dyDescent="0.2">
      <c r="A8" s="2" t="s">
        <v>104</v>
      </c>
      <c r="B8" s="3"/>
      <c r="C8" s="3"/>
      <c r="D8" s="4"/>
      <c r="E8" s="39">
        <v>60</v>
      </c>
      <c r="F8" s="39">
        <v>80</v>
      </c>
      <c r="G8" s="279"/>
      <c r="H8" s="337">
        <v>1</v>
      </c>
      <c r="I8" s="254">
        <f>G8*H8</f>
        <v>0</v>
      </c>
      <c r="J8" s="186">
        <f>E8*I8*12*12/1000</f>
        <v>0</v>
      </c>
      <c r="K8" s="186">
        <f>F8*I8*12*12/1000</f>
        <v>0</v>
      </c>
    </row>
    <row r="9" spans="1:13" x14ac:dyDescent="0.2">
      <c r="A9" s="2" t="s">
        <v>105</v>
      </c>
      <c r="B9" s="3"/>
      <c r="C9" s="3"/>
      <c r="D9" s="4"/>
      <c r="E9" s="39">
        <v>40</v>
      </c>
      <c r="F9" s="39">
        <v>50</v>
      </c>
      <c r="G9" s="279"/>
      <c r="H9" s="337">
        <v>1</v>
      </c>
      <c r="I9" s="336">
        <f t="shared" ref="I9" si="0">G9*H9</f>
        <v>0</v>
      </c>
      <c r="J9" s="186">
        <f t="shared" ref="J9" si="1">E9*I9*12*12/1000</f>
        <v>0</v>
      </c>
      <c r="K9" s="186">
        <f t="shared" ref="K9" si="2">F9*I9*12*12/1000</f>
        <v>0</v>
      </c>
    </row>
    <row r="10" spans="1:13" x14ac:dyDescent="0.2">
      <c r="A10" s="2" t="s">
        <v>106</v>
      </c>
      <c r="B10" s="3"/>
      <c r="C10" s="3"/>
      <c r="D10" s="4"/>
      <c r="E10" s="39">
        <v>25</v>
      </c>
      <c r="F10" s="39">
        <v>29</v>
      </c>
      <c r="G10" s="279"/>
      <c r="H10" s="283">
        <v>1</v>
      </c>
      <c r="I10" s="254">
        <f t="shared" ref="I10:I39" si="3">G10*H10</f>
        <v>0</v>
      </c>
      <c r="J10" s="186">
        <f t="shared" ref="J10:J39" si="4">E10*I10*12*12/1000</f>
        <v>0</v>
      </c>
      <c r="K10" s="186">
        <f t="shared" ref="K10:K39" si="5">F10*I10*12*12/1000</f>
        <v>0</v>
      </c>
    </row>
    <row r="11" spans="1:13" x14ac:dyDescent="0.2">
      <c r="A11" s="2" t="s">
        <v>103</v>
      </c>
      <c r="B11" s="3"/>
      <c r="C11" s="3"/>
      <c r="D11" s="4"/>
      <c r="E11" s="39">
        <v>2</v>
      </c>
      <c r="F11" s="39">
        <v>3</v>
      </c>
      <c r="G11" s="279"/>
      <c r="H11" s="283">
        <v>1</v>
      </c>
      <c r="I11" s="254">
        <f t="shared" si="3"/>
        <v>0</v>
      </c>
      <c r="J11" s="186">
        <f t="shared" si="4"/>
        <v>0</v>
      </c>
      <c r="K11" s="186">
        <f t="shared" si="5"/>
        <v>0</v>
      </c>
    </row>
    <row r="12" spans="1:13" x14ac:dyDescent="0.2">
      <c r="A12" s="2" t="s">
        <v>102</v>
      </c>
      <c r="B12" s="3"/>
      <c r="C12" s="3"/>
      <c r="D12" s="4"/>
      <c r="E12" s="39">
        <v>30</v>
      </c>
      <c r="F12" s="39">
        <v>43</v>
      </c>
      <c r="G12" s="279"/>
      <c r="H12" s="283">
        <v>1</v>
      </c>
      <c r="I12" s="254">
        <f t="shared" si="3"/>
        <v>0</v>
      </c>
      <c r="J12" s="186">
        <f t="shared" si="4"/>
        <v>0</v>
      </c>
      <c r="K12" s="186">
        <f t="shared" si="5"/>
        <v>0</v>
      </c>
    </row>
    <row r="13" spans="1:13" x14ac:dyDescent="0.2">
      <c r="A13" s="2" t="s">
        <v>101</v>
      </c>
      <c r="B13" s="3"/>
      <c r="C13" s="3"/>
      <c r="D13" s="4"/>
      <c r="E13" s="39">
        <v>8</v>
      </c>
      <c r="F13" s="39">
        <v>12</v>
      </c>
      <c r="G13" s="279"/>
      <c r="H13" s="283">
        <v>1</v>
      </c>
      <c r="I13" s="254">
        <f t="shared" si="3"/>
        <v>0</v>
      </c>
      <c r="J13" s="186">
        <f t="shared" si="4"/>
        <v>0</v>
      </c>
      <c r="K13" s="186">
        <f t="shared" si="5"/>
        <v>0</v>
      </c>
    </row>
    <row r="14" spans="1:13" x14ac:dyDescent="0.2">
      <c r="A14" s="2" t="s">
        <v>2</v>
      </c>
      <c r="B14" s="3"/>
      <c r="C14" s="3"/>
      <c r="D14" s="4"/>
      <c r="E14" s="39">
        <v>186.17</v>
      </c>
      <c r="F14" s="39">
        <v>217.33</v>
      </c>
      <c r="G14" s="279"/>
      <c r="H14" s="283">
        <v>1</v>
      </c>
      <c r="I14" s="254">
        <f t="shared" si="3"/>
        <v>0</v>
      </c>
      <c r="J14" s="186">
        <f t="shared" si="4"/>
        <v>0</v>
      </c>
      <c r="K14" s="186">
        <f t="shared" si="5"/>
        <v>0</v>
      </c>
    </row>
    <row r="15" spans="1:13" x14ac:dyDescent="0.2">
      <c r="A15" s="2" t="s">
        <v>3</v>
      </c>
      <c r="B15" s="3"/>
      <c r="C15" s="3"/>
      <c r="D15" s="4"/>
      <c r="E15" s="39">
        <v>256</v>
      </c>
      <c r="F15" s="39">
        <v>325</v>
      </c>
      <c r="G15" s="279"/>
      <c r="H15" s="283">
        <v>1</v>
      </c>
      <c r="I15" s="254">
        <f t="shared" si="3"/>
        <v>0</v>
      </c>
      <c r="J15" s="186">
        <f t="shared" si="4"/>
        <v>0</v>
      </c>
      <c r="K15" s="186">
        <f t="shared" si="5"/>
        <v>0</v>
      </c>
    </row>
    <row r="16" spans="1:13" x14ac:dyDescent="0.2">
      <c r="A16" s="2" t="s">
        <v>107</v>
      </c>
      <c r="B16" s="3"/>
      <c r="C16" s="3"/>
      <c r="D16" s="4"/>
      <c r="E16" s="39">
        <v>108</v>
      </c>
      <c r="F16" s="39">
        <v>114</v>
      </c>
      <c r="G16" s="279"/>
      <c r="H16" s="283">
        <v>1</v>
      </c>
      <c r="I16" s="254">
        <f t="shared" si="3"/>
        <v>0</v>
      </c>
      <c r="J16" s="186">
        <f t="shared" si="4"/>
        <v>0</v>
      </c>
      <c r="K16" s="186">
        <f t="shared" si="5"/>
        <v>0</v>
      </c>
    </row>
    <row r="17" spans="1:11" x14ac:dyDescent="0.2">
      <c r="A17" s="2" t="s">
        <v>108</v>
      </c>
      <c r="B17" s="3"/>
      <c r="C17" s="3"/>
      <c r="D17" s="4"/>
      <c r="E17" s="39">
        <v>9</v>
      </c>
      <c r="F17" s="39">
        <v>11</v>
      </c>
      <c r="G17" s="279"/>
      <c r="H17" s="283">
        <v>1</v>
      </c>
      <c r="I17" s="254">
        <f t="shared" si="3"/>
        <v>0</v>
      </c>
      <c r="J17" s="186">
        <f t="shared" si="4"/>
        <v>0</v>
      </c>
      <c r="K17" s="186">
        <f t="shared" si="5"/>
        <v>0</v>
      </c>
    </row>
    <row r="18" spans="1:11" x14ac:dyDescent="0.2">
      <c r="A18" s="2" t="s">
        <v>4</v>
      </c>
      <c r="B18" s="3"/>
      <c r="C18" s="3"/>
      <c r="D18" s="4"/>
      <c r="E18" s="39">
        <v>7</v>
      </c>
      <c r="F18" s="39">
        <v>20</v>
      </c>
      <c r="G18" s="279"/>
      <c r="H18" s="283">
        <v>1</v>
      </c>
      <c r="I18" s="254">
        <f t="shared" si="3"/>
        <v>0</v>
      </c>
      <c r="J18" s="186">
        <f t="shared" si="4"/>
        <v>0</v>
      </c>
      <c r="K18" s="186">
        <f t="shared" si="5"/>
        <v>0</v>
      </c>
    </row>
    <row r="19" spans="1:11" x14ac:dyDescent="0.2">
      <c r="A19" s="2" t="s">
        <v>5</v>
      </c>
      <c r="B19" s="3"/>
      <c r="C19" s="3"/>
      <c r="D19" s="4"/>
      <c r="E19" s="39">
        <v>37</v>
      </c>
      <c r="F19" s="39">
        <v>47</v>
      </c>
      <c r="G19" s="279"/>
      <c r="H19" s="283">
        <v>1</v>
      </c>
      <c r="I19" s="254">
        <f t="shared" si="3"/>
        <v>0</v>
      </c>
      <c r="J19" s="186">
        <f t="shared" si="4"/>
        <v>0</v>
      </c>
      <c r="K19" s="186">
        <f t="shared" si="5"/>
        <v>0</v>
      </c>
    </row>
    <row r="20" spans="1:11" x14ac:dyDescent="0.2">
      <c r="A20" s="2" t="s">
        <v>6</v>
      </c>
      <c r="B20" s="3"/>
      <c r="C20" s="3"/>
      <c r="D20" s="4"/>
      <c r="E20" s="39">
        <v>18</v>
      </c>
      <c r="F20" s="39">
        <v>21</v>
      </c>
      <c r="G20" s="279"/>
      <c r="H20" s="283">
        <v>1</v>
      </c>
      <c r="I20" s="254">
        <f t="shared" si="3"/>
        <v>0</v>
      </c>
      <c r="J20" s="186">
        <f t="shared" si="4"/>
        <v>0</v>
      </c>
      <c r="K20" s="186">
        <f t="shared" si="5"/>
        <v>0</v>
      </c>
    </row>
    <row r="21" spans="1:11" x14ac:dyDescent="0.2">
      <c r="A21" s="2" t="s">
        <v>7</v>
      </c>
      <c r="B21" s="3"/>
      <c r="C21" s="3"/>
      <c r="D21" s="4"/>
      <c r="E21" s="39">
        <v>9</v>
      </c>
      <c r="F21" s="39">
        <v>11</v>
      </c>
      <c r="G21" s="279"/>
      <c r="H21" s="283">
        <v>1</v>
      </c>
      <c r="I21" s="254">
        <f t="shared" si="3"/>
        <v>0</v>
      </c>
      <c r="J21" s="186">
        <f t="shared" si="4"/>
        <v>0</v>
      </c>
      <c r="K21" s="186">
        <f t="shared" si="5"/>
        <v>0</v>
      </c>
    </row>
    <row r="22" spans="1:11" x14ac:dyDescent="0.2">
      <c r="A22" s="2" t="s">
        <v>109</v>
      </c>
      <c r="B22" s="3"/>
      <c r="C22" s="3"/>
      <c r="D22" s="4"/>
      <c r="E22" s="39">
        <v>0.5</v>
      </c>
      <c r="F22" s="39">
        <v>0.6</v>
      </c>
      <c r="G22" s="279"/>
      <c r="H22" s="283">
        <v>1</v>
      </c>
      <c r="I22" s="254">
        <f t="shared" si="3"/>
        <v>0</v>
      </c>
      <c r="J22" s="186">
        <f>E22*I22*12*12</f>
        <v>0</v>
      </c>
      <c r="K22" s="186">
        <f>F22*I22*12*12</f>
        <v>0</v>
      </c>
    </row>
    <row r="23" spans="1:11" x14ac:dyDescent="0.2">
      <c r="A23" s="2" t="s">
        <v>110</v>
      </c>
      <c r="B23" s="3"/>
      <c r="C23" s="3"/>
      <c r="D23" s="4"/>
      <c r="E23" s="39">
        <v>390</v>
      </c>
      <c r="F23" s="39">
        <v>450</v>
      </c>
      <c r="G23" s="279"/>
      <c r="H23" s="283">
        <v>1</v>
      </c>
      <c r="I23" s="254">
        <f t="shared" si="3"/>
        <v>0</v>
      </c>
      <c r="J23" s="186">
        <f t="shared" si="4"/>
        <v>0</v>
      </c>
      <c r="K23" s="186">
        <f t="shared" si="5"/>
        <v>0</v>
      </c>
    </row>
    <row r="24" spans="1:11" x14ac:dyDescent="0.2">
      <c r="A24" s="2" t="s">
        <v>111</v>
      </c>
      <c r="B24" s="3"/>
      <c r="C24" s="3"/>
      <c r="D24" s="4"/>
      <c r="E24" s="39">
        <v>30</v>
      </c>
      <c r="F24" s="39">
        <v>40</v>
      </c>
      <c r="G24" s="279"/>
      <c r="H24" s="283">
        <v>1</v>
      </c>
      <c r="I24" s="254">
        <f t="shared" si="3"/>
        <v>0</v>
      </c>
      <c r="J24" s="186">
        <f t="shared" si="4"/>
        <v>0</v>
      </c>
      <c r="K24" s="186">
        <f t="shared" si="5"/>
        <v>0</v>
      </c>
    </row>
    <row r="25" spans="1:11" x14ac:dyDescent="0.2">
      <c r="A25" s="2" t="s">
        <v>96</v>
      </c>
      <c r="B25" s="3"/>
      <c r="C25" s="3"/>
      <c r="D25" s="4"/>
      <c r="E25" s="39">
        <v>55</v>
      </c>
      <c r="F25" s="39">
        <v>60.5</v>
      </c>
      <c r="G25" s="279"/>
      <c r="H25" s="283">
        <v>1</v>
      </c>
      <c r="I25" s="254">
        <f t="shared" si="3"/>
        <v>0</v>
      </c>
      <c r="J25" s="186">
        <f t="shared" si="4"/>
        <v>0</v>
      </c>
      <c r="K25" s="186">
        <f t="shared" si="5"/>
        <v>0</v>
      </c>
    </row>
    <row r="26" spans="1:11" x14ac:dyDescent="0.2">
      <c r="A26" s="2" t="s">
        <v>97</v>
      </c>
      <c r="B26" s="3"/>
      <c r="C26" s="3"/>
      <c r="D26" s="4"/>
      <c r="E26" s="39">
        <v>68</v>
      </c>
      <c r="F26" s="39">
        <v>75</v>
      </c>
      <c r="G26" s="279"/>
      <c r="H26" s="283">
        <v>1</v>
      </c>
      <c r="I26" s="254">
        <f t="shared" si="3"/>
        <v>0</v>
      </c>
      <c r="J26" s="186">
        <f t="shared" si="4"/>
        <v>0</v>
      </c>
      <c r="K26" s="186">
        <f t="shared" si="5"/>
        <v>0</v>
      </c>
    </row>
    <row r="27" spans="1:11" x14ac:dyDescent="0.2">
      <c r="A27" s="2" t="s">
        <v>98</v>
      </c>
      <c r="B27" s="3"/>
      <c r="C27" s="3"/>
      <c r="D27" s="4"/>
      <c r="E27" s="39">
        <v>23</v>
      </c>
      <c r="F27" s="39">
        <v>27</v>
      </c>
      <c r="G27" s="279"/>
      <c r="H27" s="283">
        <v>1</v>
      </c>
      <c r="I27" s="254">
        <f t="shared" si="3"/>
        <v>0</v>
      </c>
      <c r="J27" s="186">
        <f t="shared" si="4"/>
        <v>0</v>
      </c>
      <c r="K27" s="186">
        <f t="shared" si="5"/>
        <v>0</v>
      </c>
    </row>
    <row r="28" spans="1:11" x14ac:dyDescent="0.2">
      <c r="A28" s="2" t="s">
        <v>99</v>
      </c>
      <c r="B28" s="3"/>
      <c r="C28" s="3"/>
      <c r="D28" s="4"/>
      <c r="E28" s="39">
        <v>22</v>
      </c>
      <c r="F28" s="39">
        <v>26</v>
      </c>
      <c r="G28" s="279"/>
      <c r="H28" s="283">
        <v>1</v>
      </c>
      <c r="I28" s="254">
        <f t="shared" si="3"/>
        <v>0</v>
      </c>
      <c r="J28" s="186">
        <f t="shared" si="4"/>
        <v>0</v>
      </c>
      <c r="K28" s="186">
        <f t="shared" si="5"/>
        <v>0</v>
      </c>
    </row>
    <row r="29" spans="1:11" x14ac:dyDescent="0.2">
      <c r="A29" s="2" t="s">
        <v>112</v>
      </c>
      <c r="B29" s="3"/>
      <c r="C29" s="3"/>
      <c r="D29" s="4"/>
      <c r="E29" s="39">
        <v>34</v>
      </c>
      <c r="F29" s="39">
        <v>39</v>
      </c>
      <c r="G29" s="279"/>
      <c r="H29" s="283">
        <v>1</v>
      </c>
      <c r="I29" s="254">
        <f t="shared" si="3"/>
        <v>0</v>
      </c>
      <c r="J29" s="186">
        <f t="shared" si="4"/>
        <v>0</v>
      </c>
      <c r="K29" s="186">
        <f t="shared" si="5"/>
        <v>0</v>
      </c>
    </row>
    <row r="30" spans="1:11" x14ac:dyDescent="0.2">
      <c r="A30" s="2" t="s">
        <v>100</v>
      </c>
      <c r="B30" s="3"/>
      <c r="C30" s="3"/>
      <c r="D30" s="4"/>
      <c r="E30" s="39">
        <v>0</v>
      </c>
      <c r="F30" s="39">
        <v>7</v>
      </c>
      <c r="G30" s="279"/>
      <c r="H30" s="283">
        <v>1</v>
      </c>
      <c r="I30" s="254">
        <f t="shared" si="3"/>
        <v>0</v>
      </c>
      <c r="J30" s="186">
        <f t="shared" si="4"/>
        <v>0</v>
      </c>
      <c r="K30" s="186">
        <f t="shared" si="5"/>
        <v>0</v>
      </c>
    </row>
    <row r="31" spans="1:11" x14ac:dyDescent="0.2">
      <c r="A31" s="2" t="s">
        <v>113</v>
      </c>
      <c r="B31" s="3"/>
      <c r="C31" s="3"/>
      <c r="D31" s="4"/>
      <c r="E31" s="39">
        <v>9</v>
      </c>
      <c r="F31" s="39">
        <v>11</v>
      </c>
      <c r="G31" s="279"/>
      <c r="H31" s="283">
        <v>1</v>
      </c>
      <c r="I31" s="254">
        <f t="shared" si="3"/>
        <v>0</v>
      </c>
      <c r="J31" s="186">
        <f t="shared" si="4"/>
        <v>0</v>
      </c>
      <c r="K31" s="186">
        <f t="shared" si="5"/>
        <v>0</v>
      </c>
    </row>
    <row r="32" spans="1:11" x14ac:dyDescent="0.2">
      <c r="A32" s="2" t="s">
        <v>114</v>
      </c>
      <c r="B32" s="3"/>
      <c r="C32" s="3"/>
      <c r="D32" s="4"/>
      <c r="E32" s="39">
        <v>4.3</v>
      </c>
      <c r="F32" s="39">
        <v>6.4</v>
      </c>
      <c r="G32" s="279"/>
      <c r="H32" s="283">
        <v>1</v>
      </c>
      <c r="I32" s="254">
        <f t="shared" si="3"/>
        <v>0</v>
      </c>
      <c r="J32" s="186">
        <f t="shared" si="4"/>
        <v>0</v>
      </c>
      <c r="K32" s="186">
        <f t="shared" si="5"/>
        <v>0</v>
      </c>
    </row>
    <row r="33" spans="1:13" x14ac:dyDescent="0.2">
      <c r="A33" s="2" t="s">
        <v>115</v>
      </c>
      <c r="B33" s="3"/>
      <c r="C33" s="3"/>
      <c r="D33" s="4"/>
      <c r="E33" s="39">
        <v>0.5</v>
      </c>
      <c r="F33" s="39">
        <v>0.6</v>
      </c>
      <c r="G33" s="279"/>
      <c r="H33" s="283">
        <v>1</v>
      </c>
      <c r="I33" s="254">
        <f t="shared" si="3"/>
        <v>0</v>
      </c>
      <c r="J33" s="186">
        <f t="shared" si="4"/>
        <v>0</v>
      </c>
      <c r="K33" s="186">
        <f t="shared" si="5"/>
        <v>0</v>
      </c>
    </row>
    <row r="34" spans="1:13" x14ac:dyDescent="0.2">
      <c r="A34" s="2" t="s">
        <v>8</v>
      </c>
      <c r="B34" s="3"/>
      <c r="C34" s="3"/>
      <c r="D34" s="4"/>
      <c r="E34" s="39">
        <v>1</v>
      </c>
      <c r="F34" s="39">
        <v>1.2</v>
      </c>
      <c r="G34" s="279"/>
      <c r="H34" s="283">
        <v>1</v>
      </c>
      <c r="I34" s="254">
        <f t="shared" si="3"/>
        <v>0</v>
      </c>
      <c r="J34" s="186">
        <f t="shared" si="4"/>
        <v>0</v>
      </c>
      <c r="K34" s="186">
        <f t="shared" si="5"/>
        <v>0</v>
      </c>
    </row>
    <row r="35" spans="1:13" x14ac:dyDescent="0.2">
      <c r="A35" s="2" t="s">
        <v>116</v>
      </c>
      <c r="B35" s="3"/>
      <c r="C35" s="3"/>
      <c r="D35" s="4"/>
      <c r="E35" s="39">
        <v>0.5</v>
      </c>
      <c r="F35" s="39">
        <v>0.6</v>
      </c>
      <c r="G35" s="279"/>
      <c r="H35" s="283">
        <v>1</v>
      </c>
      <c r="I35" s="254">
        <f t="shared" si="3"/>
        <v>0</v>
      </c>
      <c r="J35" s="186">
        <f t="shared" si="4"/>
        <v>0</v>
      </c>
      <c r="K35" s="186">
        <f t="shared" si="5"/>
        <v>0</v>
      </c>
    </row>
    <row r="36" spans="1:13" x14ac:dyDescent="0.2">
      <c r="A36" s="2" t="s">
        <v>117</v>
      </c>
      <c r="B36" s="3"/>
      <c r="C36" s="3"/>
      <c r="D36" s="4"/>
      <c r="E36" s="39">
        <v>4</v>
      </c>
      <c r="F36" s="39">
        <v>6</v>
      </c>
      <c r="G36" s="279"/>
      <c r="H36" s="283">
        <v>1</v>
      </c>
      <c r="I36" s="254">
        <f t="shared" si="3"/>
        <v>0</v>
      </c>
      <c r="J36" s="186">
        <f t="shared" si="4"/>
        <v>0</v>
      </c>
      <c r="K36" s="186">
        <f t="shared" si="5"/>
        <v>0</v>
      </c>
    </row>
    <row r="37" spans="1:13" x14ac:dyDescent="0.2">
      <c r="A37" s="2" t="s">
        <v>118</v>
      </c>
      <c r="B37" s="3"/>
      <c r="C37" s="3"/>
      <c r="D37" s="4"/>
      <c r="E37" s="39">
        <v>0.4</v>
      </c>
      <c r="F37" s="39">
        <v>0.5</v>
      </c>
      <c r="G37" s="279"/>
      <c r="H37" s="283">
        <v>1</v>
      </c>
      <c r="I37" s="254">
        <f t="shared" si="3"/>
        <v>0</v>
      </c>
      <c r="J37" s="186">
        <f t="shared" si="4"/>
        <v>0</v>
      </c>
      <c r="K37" s="186">
        <f t="shared" si="5"/>
        <v>0</v>
      </c>
    </row>
    <row r="38" spans="1:13" x14ac:dyDescent="0.2">
      <c r="A38" s="2" t="s">
        <v>119</v>
      </c>
      <c r="B38" s="3"/>
      <c r="C38" s="3"/>
      <c r="D38" s="4"/>
      <c r="E38" s="39">
        <v>100</v>
      </c>
      <c r="F38" s="39">
        <v>100</v>
      </c>
      <c r="G38" s="279"/>
      <c r="H38" s="283">
        <v>1</v>
      </c>
      <c r="I38" s="254">
        <f t="shared" si="3"/>
        <v>0</v>
      </c>
      <c r="J38" s="186">
        <f t="shared" si="4"/>
        <v>0</v>
      </c>
      <c r="K38" s="186">
        <f t="shared" si="5"/>
        <v>0</v>
      </c>
    </row>
    <row r="39" spans="1:13" x14ac:dyDescent="0.2">
      <c r="A39" s="2" t="s">
        <v>120</v>
      </c>
      <c r="B39" s="3"/>
      <c r="C39" s="3"/>
      <c r="D39" s="4"/>
      <c r="E39" s="39">
        <v>0</v>
      </c>
      <c r="F39" s="39">
        <v>50</v>
      </c>
      <c r="G39" s="279"/>
      <c r="H39" s="283">
        <v>1</v>
      </c>
      <c r="I39" s="254">
        <f t="shared" si="3"/>
        <v>0</v>
      </c>
      <c r="J39" s="186">
        <f t="shared" si="4"/>
        <v>0</v>
      </c>
      <c r="K39" s="186">
        <f t="shared" si="5"/>
        <v>0</v>
      </c>
    </row>
    <row r="40" spans="1:13" s="23" customFormat="1" ht="15" customHeight="1" x14ac:dyDescent="0.2">
      <c r="A40" s="792" t="s">
        <v>3825</v>
      </c>
      <c r="B40" s="793"/>
      <c r="C40" s="793"/>
      <c r="D40" s="123"/>
      <c r="E40" s="123"/>
      <c r="J40" s="255">
        <f>SUM(J8:J39)</f>
        <v>0</v>
      </c>
      <c r="K40" s="255">
        <f>SUM(K8:K39)</f>
        <v>0</v>
      </c>
      <c r="L40"/>
      <c r="M40"/>
    </row>
    <row r="41" spans="1:13" s="23" customFormat="1" ht="15" hidden="1" customHeight="1" x14ac:dyDescent="0.2">
      <c r="A41" s="788"/>
      <c r="B41" s="788"/>
      <c r="C41" s="788"/>
      <c r="D41" s="123"/>
      <c r="E41" s="123"/>
      <c r="J41" s="256">
        <f>J40/12/12</f>
        <v>0</v>
      </c>
      <c r="K41" s="256">
        <f>K40/12/12</f>
        <v>0</v>
      </c>
    </row>
    <row r="42" spans="1:13" s="23" customFormat="1" ht="15" hidden="1" customHeight="1" x14ac:dyDescent="0.2">
      <c r="A42" s="788"/>
      <c r="B42" s="788"/>
      <c r="C42" s="788"/>
      <c r="D42" s="123"/>
      <c r="E42" s="123"/>
      <c r="J42" s="257">
        <f>'[2]питание (2)'!H40</f>
        <v>133.73695529999998</v>
      </c>
      <c r="K42" s="257">
        <f>'[2]питание (2)'!I40</f>
        <v>159.74055669999998</v>
      </c>
    </row>
    <row r="43" spans="1:13" s="23" customFormat="1" ht="15" x14ac:dyDescent="0.2">
      <c r="A43" s="788"/>
      <c r="B43" s="788"/>
      <c r="C43" s="788"/>
      <c r="D43" s="123"/>
      <c r="E43" s="123"/>
    </row>
    <row r="44" spans="1:13" s="23" customFormat="1" ht="15" x14ac:dyDescent="0.2">
      <c r="A44" s="123"/>
      <c r="B44" s="123"/>
      <c r="C44" s="123"/>
      <c r="D44" s="123"/>
      <c r="E44" s="123"/>
    </row>
  </sheetData>
  <mergeCells count="10">
    <mergeCell ref="A41:C41"/>
    <mergeCell ref="A4:K4"/>
    <mergeCell ref="A43:C43"/>
    <mergeCell ref="J6:K6"/>
    <mergeCell ref="A42:C42"/>
    <mergeCell ref="I1:K1"/>
    <mergeCell ref="I2:K2"/>
    <mergeCell ref="A6:D7"/>
    <mergeCell ref="E6:F6"/>
    <mergeCell ref="A40:C40"/>
  </mergeCells>
  <pageMargins left="0.17" right="0.24" top="0.45" bottom="0.39" header="0.28000000000000003" footer="0.26"/>
  <pageSetup paperSize="9" orientation="landscape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workbookViewId="0">
      <selection activeCell="L1" sqref="L1:M1"/>
    </sheetView>
  </sheetViews>
  <sheetFormatPr defaultColWidth="9.140625" defaultRowHeight="12.75" x14ac:dyDescent="0.2"/>
  <cols>
    <col min="1" max="1" width="13.140625" style="27" customWidth="1"/>
    <col min="2" max="2" width="11.5703125" style="27" customWidth="1"/>
    <col min="3" max="3" width="8.28515625" style="27" customWidth="1"/>
    <col min="4" max="4" width="13" style="27" customWidth="1"/>
    <col min="5" max="5" width="9.140625" style="27"/>
    <col min="6" max="6" width="8.140625" style="27" customWidth="1"/>
    <col min="7" max="10" width="9.140625" style="27"/>
    <col min="11" max="11" width="7.42578125" style="27" customWidth="1"/>
    <col min="12" max="12" width="7.140625" style="27" customWidth="1"/>
    <col min="13" max="13" width="7" style="27" customWidth="1"/>
    <col min="14" max="14" width="10.28515625" style="27" customWidth="1"/>
    <col min="15" max="15" width="9.7109375" style="27" customWidth="1"/>
    <col min="16" max="16384" width="9.140625" style="27"/>
  </cols>
  <sheetData>
    <row r="1" spans="1:15" s="24" customFormat="1" ht="15" x14ac:dyDescent="0.2">
      <c r="K1" s="141" t="s">
        <v>67</v>
      </c>
      <c r="L1" s="141"/>
      <c r="M1" s="141">
        <v>6</v>
      </c>
    </row>
    <row r="2" spans="1:15" s="24" customFormat="1" ht="15" x14ac:dyDescent="0.2">
      <c r="K2" s="24" t="s">
        <v>68</v>
      </c>
    </row>
    <row r="3" spans="1:15" s="24" customFormat="1" ht="15" x14ac:dyDescent="0.2"/>
    <row r="4" spans="1:15" s="24" customFormat="1" ht="15" x14ac:dyDescent="0.2"/>
    <row r="5" spans="1:15" s="41" customFormat="1" ht="15.75" x14ac:dyDescent="0.25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</row>
    <row r="6" spans="1:15" ht="31.5" customHeight="1" x14ac:dyDescent="0.2">
      <c r="B6" s="787" t="s">
        <v>71</v>
      </c>
      <c r="C6" s="787"/>
      <c r="D6" s="787"/>
      <c r="E6" s="787"/>
      <c r="F6" s="872"/>
      <c r="G6" s="872"/>
      <c r="H6" s="872"/>
      <c r="I6" s="872"/>
      <c r="J6" s="872"/>
      <c r="K6" s="872"/>
      <c r="L6" s="872"/>
    </row>
    <row r="8" spans="1:15" s="45" customFormat="1" ht="11.25" x14ac:dyDescent="0.2">
      <c r="A8" s="44"/>
      <c r="B8" s="44" t="s">
        <v>11</v>
      </c>
      <c r="C8" s="44" t="s">
        <v>11</v>
      </c>
      <c r="D8" s="44" t="s">
        <v>12</v>
      </c>
      <c r="E8" s="44" t="s">
        <v>85</v>
      </c>
      <c r="F8" s="44" t="s">
        <v>12</v>
      </c>
      <c r="G8" s="44" t="s">
        <v>86</v>
      </c>
      <c r="H8" s="44" t="s">
        <v>88</v>
      </c>
      <c r="I8" s="44" t="s">
        <v>13</v>
      </c>
      <c r="J8" s="44" t="s">
        <v>14</v>
      </c>
      <c r="K8" s="44" t="s">
        <v>15</v>
      </c>
      <c r="L8" s="44" t="s">
        <v>16</v>
      </c>
      <c r="M8" s="44" t="s">
        <v>17</v>
      </c>
      <c r="N8" s="44" t="s">
        <v>89</v>
      </c>
      <c r="O8" s="44" t="s">
        <v>18</v>
      </c>
    </row>
    <row r="9" spans="1:15" s="45" customFormat="1" ht="11.25" x14ac:dyDescent="0.2">
      <c r="A9" s="46"/>
      <c r="B9" s="46" t="s">
        <v>82</v>
      </c>
      <c r="C9" s="46" t="s">
        <v>83</v>
      </c>
      <c r="D9" s="46" t="s">
        <v>84</v>
      </c>
      <c r="E9" s="46" t="s">
        <v>19</v>
      </c>
      <c r="F9" s="46" t="s">
        <v>20</v>
      </c>
      <c r="G9" s="46" t="s">
        <v>87</v>
      </c>
      <c r="H9" s="46" t="s">
        <v>19</v>
      </c>
      <c r="I9" s="46" t="s">
        <v>21</v>
      </c>
      <c r="J9" s="46" t="s">
        <v>22</v>
      </c>
      <c r="K9" s="46"/>
      <c r="L9" s="46"/>
      <c r="M9" s="46"/>
      <c r="N9" s="46" t="s">
        <v>90</v>
      </c>
      <c r="O9" s="46" t="s">
        <v>23</v>
      </c>
    </row>
    <row r="10" spans="1:15" s="45" customFormat="1" ht="11.25" x14ac:dyDescent="0.2">
      <c r="A10" s="47" t="s">
        <v>24</v>
      </c>
      <c r="B10" s="47" t="s">
        <v>92</v>
      </c>
      <c r="C10" s="47" t="s">
        <v>92</v>
      </c>
      <c r="D10" s="47" t="s">
        <v>91</v>
      </c>
      <c r="E10" s="47" t="s">
        <v>91</v>
      </c>
      <c r="F10" s="47" t="s">
        <v>91</v>
      </c>
      <c r="G10" s="47" t="s">
        <v>93</v>
      </c>
      <c r="H10" s="47" t="s">
        <v>91</v>
      </c>
      <c r="I10" s="47" t="s">
        <v>91</v>
      </c>
      <c r="J10" s="47" t="s">
        <v>95</v>
      </c>
      <c r="K10" s="47" t="s">
        <v>94</v>
      </c>
      <c r="L10" s="47" t="s">
        <v>94</v>
      </c>
      <c r="M10" s="47" t="s">
        <v>94</v>
      </c>
      <c r="N10" s="47" t="s">
        <v>94</v>
      </c>
      <c r="O10" s="47" t="s">
        <v>94</v>
      </c>
    </row>
    <row r="11" spans="1:15" ht="15" x14ac:dyDescent="0.2">
      <c r="A11" s="6" t="s">
        <v>10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pans="1:15" x14ac:dyDescent="0.2">
      <c r="A12" s="30" t="s">
        <v>25</v>
      </c>
      <c r="B12" s="31">
        <v>4</v>
      </c>
      <c r="C12" s="31">
        <v>5</v>
      </c>
      <c r="D12" s="31">
        <v>0.3</v>
      </c>
      <c r="E12" s="31">
        <v>1</v>
      </c>
      <c r="F12" s="31">
        <v>0.5</v>
      </c>
      <c r="G12" s="31">
        <v>1</v>
      </c>
      <c r="H12" s="31">
        <v>0.5</v>
      </c>
      <c r="I12" s="31">
        <v>2</v>
      </c>
      <c r="J12" s="31">
        <v>0.5</v>
      </c>
      <c r="K12" s="31">
        <f>1/3</f>
        <v>0.33333333333333331</v>
      </c>
      <c r="L12" s="31">
        <f>1</f>
        <v>1</v>
      </c>
      <c r="M12" s="31">
        <v>1</v>
      </c>
      <c r="N12" s="31">
        <v>1</v>
      </c>
      <c r="O12" s="31">
        <v>2</v>
      </c>
    </row>
    <row r="13" spans="1:15" x14ac:dyDescent="0.2">
      <c r="A13" s="28" t="s">
        <v>26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</row>
    <row r="14" spans="1:15" x14ac:dyDescent="0.2">
      <c r="A14" s="28" t="s">
        <v>27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</row>
    <row r="15" spans="1:15" x14ac:dyDescent="0.2">
      <c r="A15" s="32" t="s">
        <v>25</v>
      </c>
      <c r="B15" s="33">
        <v>5</v>
      </c>
      <c r="C15" s="33"/>
      <c r="D15" s="33">
        <v>1.2</v>
      </c>
      <c r="E15" s="33">
        <v>4</v>
      </c>
      <c r="F15" s="33"/>
      <c r="G15" s="33"/>
      <c r="H15" s="33"/>
      <c r="I15" s="33">
        <v>0.33</v>
      </c>
      <c r="J15" s="33"/>
      <c r="K15" s="33"/>
      <c r="L15" s="33"/>
      <c r="M15" s="33"/>
      <c r="N15" s="33"/>
      <c r="O15" s="33"/>
    </row>
    <row r="16" spans="1:15" x14ac:dyDescent="0.2">
      <c r="A16" s="28" t="s">
        <v>28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</row>
    <row r="17" spans="1:15" x14ac:dyDescent="0.2">
      <c r="A17" s="32" t="s">
        <v>25</v>
      </c>
      <c r="B17" s="33">
        <v>2</v>
      </c>
      <c r="C17" s="33"/>
      <c r="D17" s="33">
        <v>0.6</v>
      </c>
      <c r="E17" s="33">
        <v>2</v>
      </c>
      <c r="F17" s="33"/>
      <c r="G17" s="33"/>
      <c r="H17" s="33"/>
      <c r="I17" s="33"/>
      <c r="J17" s="33"/>
      <c r="K17" s="33"/>
      <c r="L17" s="33"/>
      <c r="M17" s="33"/>
      <c r="N17" s="33"/>
      <c r="O17" s="33"/>
    </row>
    <row r="18" spans="1:15" x14ac:dyDescent="0.2">
      <c r="A18" s="34" t="s">
        <v>29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</row>
    <row r="19" spans="1:15" x14ac:dyDescent="0.2">
      <c r="A19" s="29" t="s">
        <v>30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 x14ac:dyDescent="0.2">
      <c r="A20" s="29" t="s">
        <v>31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15" x14ac:dyDescent="0.2">
      <c r="A21" s="35" t="s">
        <v>25</v>
      </c>
      <c r="B21" s="33">
        <v>1.5</v>
      </c>
      <c r="C21" s="33">
        <v>1.5</v>
      </c>
      <c r="D21" s="33">
        <v>0.3</v>
      </c>
      <c r="E21" s="33">
        <v>0.5</v>
      </c>
      <c r="F21" s="33">
        <v>0</v>
      </c>
      <c r="G21" s="33">
        <v>1</v>
      </c>
      <c r="H21" s="33">
        <v>0.25</v>
      </c>
      <c r="I21" s="33">
        <v>0.2</v>
      </c>
      <c r="J21" s="33">
        <v>0.5</v>
      </c>
      <c r="K21" s="33">
        <v>0.25</v>
      </c>
      <c r="L21" s="33">
        <v>0.5</v>
      </c>
      <c r="M21" s="33"/>
      <c r="N21" s="33">
        <v>0.5</v>
      </c>
      <c r="O21" s="33">
        <v>0.5</v>
      </c>
    </row>
    <row r="22" spans="1:15" x14ac:dyDescent="0.2">
      <c r="A22" s="7" t="s">
        <v>32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 x14ac:dyDescent="0.2">
      <c r="A23" s="36" t="s">
        <v>33</v>
      </c>
      <c r="B23" s="37">
        <f t="shared" ref="B23:O23" si="0">B21+B15+B12</f>
        <v>10.5</v>
      </c>
      <c r="C23" s="37">
        <f t="shared" si="0"/>
        <v>6.5</v>
      </c>
      <c r="D23" s="37">
        <f t="shared" si="0"/>
        <v>1.8</v>
      </c>
      <c r="E23" s="37">
        <f t="shared" si="0"/>
        <v>5.5</v>
      </c>
      <c r="F23" s="37">
        <f t="shared" si="0"/>
        <v>0.5</v>
      </c>
      <c r="G23" s="37">
        <f t="shared" si="0"/>
        <v>2</v>
      </c>
      <c r="H23" s="37">
        <f t="shared" si="0"/>
        <v>0.75</v>
      </c>
      <c r="I23" s="37">
        <f t="shared" si="0"/>
        <v>2.5300000000000002</v>
      </c>
      <c r="J23" s="37">
        <f t="shared" si="0"/>
        <v>1</v>
      </c>
      <c r="K23" s="37">
        <f t="shared" si="0"/>
        <v>0.58333333333333326</v>
      </c>
      <c r="L23" s="37">
        <f t="shared" si="0"/>
        <v>1.5</v>
      </c>
      <c r="M23" s="37">
        <f t="shared" si="0"/>
        <v>1</v>
      </c>
      <c r="N23" s="37">
        <f t="shared" si="0"/>
        <v>1.5</v>
      </c>
      <c r="O23" s="37">
        <f t="shared" si="0"/>
        <v>2.5</v>
      </c>
    </row>
    <row r="24" spans="1:15" x14ac:dyDescent="0.2">
      <c r="A24" s="7" t="s">
        <v>32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5" x14ac:dyDescent="0.2">
      <c r="A25" s="36" t="s">
        <v>34</v>
      </c>
      <c r="B25" s="37">
        <f t="shared" ref="B25:O25" si="1">B21+B17+B12</f>
        <v>7.5</v>
      </c>
      <c r="C25" s="37">
        <f t="shared" si="1"/>
        <v>6.5</v>
      </c>
      <c r="D25" s="37">
        <f t="shared" si="1"/>
        <v>1.2</v>
      </c>
      <c r="E25" s="37">
        <f t="shared" si="1"/>
        <v>3.5</v>
      </c>
      <c r="F25" s="37">
        <f t="shared" si="1"/>
        <v>0.5</v>
      </c>
      <c r="G25" s="37">
        <f t="shared" si="1"/>
        <v>2</v>
      </c>
      <c r="H25" s="37">
        <f t="shared" si="1"/>
        <v>0.75</v>
      </c>
      <c r="I25" s="37">
        <f t="shared" si="1"/>
        <v>2.2000000000000002</v>
      </c>
      <c r="J25" s="37">
        <f t="shared" si="1"/>
        <v>1</v>
      </c>
      <c r="K25" s="37">
        <f t="shared" si="1"/>
        <v>0.58333333333333326</v>
      </c>
      <c r="L25" s="37">
        <f t="shared" si="1"/>
        <v>1.5</v>
      </c>
      <c r="M25" s="37">
        <f t="shared" si="1"/>
        <v>1</v>
      </c>
      <c r="N25" s="37">
        <f t="shared" si="1"/>
        <v>1.5</v>
      </c>
      <c r="O25" s="37">
        <f t="shared" si="1"/>
        <v>2.5</v>
      </c>
    </row>
    <row r="26" spans="1:15" ht="15.75" x14ac:dyDescent="0.25">
      <c r="A26" s="6" t="s">
        <v>35</v>
      </c>
      <c r="B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</row>
    <row r="27" spans="1:15" x14ac:dyDescent="0.2">
      <c r="A27" s="8" t="s">
        <v>64</v>
      </c>
      <c r="B27" s="8">
        <v>2</v>
      </c>
      <c r="C27" s="8">
        <v>2</v>
      </c>
      <c r="D27" s="8">
        <v>0.5</v>
      </c>
      <c r="E27" s="8">
        <v>2</v>
      </c>
      <c r="F27" s="8">
        <v>0</v>
      </c>
      <c r="G27" s="8">
        <v>2</v>
      </c>
      <c r="H27" s="8">
        <v>0</v>
      </c>
      <c r="I27" s="8">
        <v>0.5</v>
      </c>
      <c r="J27" s="8">
        <v>3</v>
      </c>
      <c r="K27" s="8">
        <v>0.25</v>
      </c>
      <c r="L27" s="8">
        <v>1</v>
      </c>
      <c r="M27" s="8">
        <v>1</v>
      </c>
      <c r="N27" s="8">
        <v>1</v>
      </c>
      <c r="O27" s="8">
        <v>1</v>
      </c>
    </row>
    <row r="28" spans="1:15" ht="15.75" x14ac:dyDescent="0.25">
      <c r="A28" s="6" t="s">
        <v>36</v>
      </c>
      <c r="B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 spans="1:15" x14ac:dyDescent="0.2">
      <c r="A29" s="8" t="s">
        <v>65</v>
      </c>
      <c r="B29" s="8">
        <v>20</v>
      </c>
      <c r="C29" s="8">
        <v>15</v>
      </c>
      <c r="D29" s="8">
        <v>5</v>
      </c>
      <c r="E29" s="8">
        <v>5</v>
      </c>
      <c r="F29" s="8">
        <v>0</v>
      </c>
      <c r="G29" s="8">
        <v>10</v>
      </c>
      <c r="H29" s="8">
        <v>0</v>
      </c>
      <c r="I29" s="8">
        <v>2.5</v>
      </c>
      <c r="J29" s="8">
        <v>10</v>
      </c>
      <c r="K29" s="8">
        <v>0</v>
      </c>
      <c r="L29" s="8">
        <v>10</v>
      </c>
      <c r="M29" s="8">
        <v>5</v>
      </c>
      <c r="N29" s="8">
        <v>1</v>
      </c>
      <c r="O29" s="8">
        <v>1</v>
      </c>
    </row>
    <row r="30" spans="1:1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</row>
    <row r="31" spans="1:15" ht="15" x14ac:dyDescent="0.2">
      <c r="A31" s="791" t="s">
        <v>3847</v>
      </c>
      <c r="B31" s="791"/>
      <c r="C31" s="791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</row>
    <row r="32" spans="1:15" ht="36.75" customHeight="1" x14ac:dyDescent="0.2"/>
    <row r="33" spans="1:7" s="23" customFormat="1" ht="17.25" customHeight="1" x14ac:dyDescent="0.2">
      <c r="A33" s="21" t="s">
        <v>73</v>
      </c>
      <c r="C33" s="22"/>
      <c r="D33" s="22"/>
      <c r="E33" s="22"/>
      <c r="G33" s="21" t="s">
        <v>73</v>
      </c>
    </row>
    <row r="34" spans="1:7" s="23" customFormat="1" ht="18" customHeight="1" x14ac:dyDescent="0.2">
      <c r="A34" s="42" t="s">
        <v>74</v>
      </c>
      <c r="B34" s="25"/>
      <c r="C34" s="25"/>
      <c r="D34" s="22"/>
      <c r="E34" s="22"/>
      <c r="G34" s="42" t="s">
        <v>77</v>
      </c>
    </row>
    <row r="35" spans="1:7" s="23" customFormat="1" ht="15" x14ac:dyDescent="0.2">
      <c r="A35" s="42" t="s">
        <v>75</v>
      </c>
      <c r="B35" s="22"/>
      <c r="C35" s="22"/>
      <c r="D35" s="22"/>
      <c r="E35" s="22"/>
      <c r="G35" s="42" t="s">
        <v>75</v>
      </c>
    </row>
    <row r="36" spans="1:7" s="23" customFormat="1" ht="15" x14ac:dyDescent="0.2">
      <c r="A36" s="42" t="s">
        <v>76</v>
      </c>
      <c r="B36" s="22"/>
      <c r="C36" s="22"/>
      <c r="D36" s="22"/>
      <c r="E36" s="22"/>
      <c r="G36" s="42" t="s">
        <v>78</v>
      </c>
    </row>
    <row r="37" spans="1:7" s="23" customFormat="1" ht="15" x14ac:dyDescent="0.2">
      <c r="A37" s="22"/>
      <c r="C37" s="22"/>
      <c r="D37" s="22"/>
      <c r="E37" s="22"/>
    </row>
    <row r="38" spans="1:7" s="23" customFormat="1" ht="15" x14ac:dyDescent="0.2">
      <c r="A38" s="792"/>
      <c r="B38" s="873"/>
      <c r="C38" s="873"/>
      <c r="D38" s="22"/>
      <c r="E38" s="22"/>
    </row>
    <row r="39" spans="1:7" s="23" customFormat="1" ht="15.75" customHeight="1" x14ac:dyDescent="0.2">
      <c r="A39" s="788"/>
      <c r="B39" s="788"/>
      <c r="C39" s="788"/>
      <c r="D39" s="873"/>
      <c r="E39" s="873"/>
    </row>
  </sheetData>
  <mergeCells count="4">
    <mergeCell ref="B6:L6"/>
    <mergeCell ref="A38:C38"/>
    <mergeCell ref="A39:E39"/>
    <mergeCell ref="A31:C31"/>
  </mergeCells>
  <phoneticPr fontId="6" type="noConversion"/>
  <pageMargins left="0.64" right="0.14000000000000001" top="0.28999999999999998" bottom="0.21" header="0.25" footer="0.16"/>
  <pageSetup paperSize="9" orientation="landscape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20"/>
  <sheetViews>
    <sheetView workbookViewId="0">
      <selection activeCell="F1" sqref="F1:I1"/>
    </sheetView>
  </sheetViews>
  <sheetFormatPr defaultRowHeight="12.75" x14ac:dyDescent="0.2"/>
  <cols>
    <col min="1" max="1" width="4.28515625" customWidth="1"/>
    <col min="2" max="2" width="33.85546875" bestFit="1" customWidth="1"/>
    <col min="3" max="3" width="9.42578125" customWidth="1"/>
    <col min="4" max="4" width="14.140625" bestFit="1" customWidth="1"/>
    <col min="5" max="5" width="9.42578125" bestFit="1" customWidth="1"/>
    <col min="6" max="6" width="9.28515625" bestFit="1" customWidth="1"/>
    <col min="7" max="7" width="7.28515625" bestFit="1" customWidth="1"/>
    <col min="8" max="8" width="9.28515625" bestFit="1" customWidth="1"/>
    <col min="9" max="9" width="12.28515625" bestFit="1" customWidth="1"/>
    <col min="12" max="12" width="9.28515625" bestFit="1" customWidth="1"/>
  </cols>
  <sheetData>
    <row r="1" spans="1:9" s="24" customFormat="1" ht="15" x14ac:dyDescent="0.2">
      <c r="B1" s="850"/>
      <c r="C1" s="850"/>
      <c r="D1" s="850"/>
      <c r="E1" s="850"/>
      <c r="F1" s="801" t="s">
        <v>4726</v>
      </c>
      <c r="G1" s="801"/>
      <c r="H1" s="801"/>
      <c r="I1" s="801"/>
    </row>
    <row r="2" spans="1:9" s="24" customFormat="1" ht="15" x14ac:dyDescent="0.2">
      <c r="B2" s="850"/>
      <c r="C2" s="850"/>
      <c r="D2" s="850"/>
      <c r="E2" s="850"/>
      <c r="F2" s="801" t="s">
        <v>4586</v>
      </c>
      <c r="G2" s="801"/>
      <c r="H2" s="801"/>
      <c r="I2" s="801"/>
    </row>
    <row r="3" spans="1:9" s="24" customFormat="1" ht="15" x14ac:dyDescent="0.2"/>
    <row r="4" spans="1:9" s="24" customFormat="1" ht="15" x14ac:dyDescent="0.2"/>
    <row r="5" spans="1:9" s="24" customFormat="1" ht="15" x14ac:dyDescent="0.2"/>
    <row r="6" spans="1:9" ht="15.75" x14ac:dyDescent="0.25">
      <c r="A6" s="10"/>
      <c r="B6" s="10"/>
      <c r="C6" s="10"/>
      <c r="D6" s="10"/>
      <c r="E6" s="10"/>
      <c r="F6" s="10"/>
      <c r="G6" s="10"/>
    </row>
    <row r="7" spans="1:9" ht="46.15" customHeight="1" x14ac:dyDescent="0.2">
      <c r="A7" s="11"/>
      <c r="B7" s="823" t="s">
        <v>3844</v>
      </c>
      <c r="C7" s="823"/>
      <c r="D7" s="823"/>
      <c r="E7" s="823"/>
      <c r="F7" s="823"/>
      <c r="G7" s="823"/>
      <c r="H7" s="823"/>
      <c r="I7" s="823"/>
    </row>
    <row r="8" spans="1:9" x14ac:dyDescent="0.2">
      <c r="A8" s="12"/>
      <c r="B8" s="12"/>
      <c r="C8" s="12"/>
      <c r="D8" s="12"/>
      <c r="E8" s="12"/>
      <c r="F8" s="12"/>
      <c r="G8" s="12"/>
    </row>
    <row r="9" spans="1:9" s="53" customFormat="1" ht="81.75" customHeight="1" x14ac:dyDescent="0.2">
      <c r="A9" s="302" t="s">
        <v>4105</v>
      </c>
      <c r="B9" s="302" t="s">
        <v>121</v>
      </c>
      <c r="C9" s="302" t="s">
        <v>3753</v>
      </c>
      <c r="D9" s="302" t="s">
        <v>3738</v>
      </c>
      <c r="E9" s="303" t="s">
        <v>3760</v>
      </c>
      <c r="F9" s="291" t="s">
        <v>4369</v>
      </c>
      <c r="G9" s="291" t="s">
        <v>4580</v>
      </c>
      <c r="H9" s="291" t="s">
        <v>4360</v>
      </c>
      <c r="I9" s="304" t="s">
        <v>3835</v>
      </c>
    </row>
    <row r="10" spans="1:9" ht="15" customHeight="1" x14ac:dyDescent="0.2">
      <c r="A10" s="874" t="s">
        <v>257</v>
      </c>
      <c r="B10" s="874"/>
      <c r="C10" s="874"/>
      <c r="D10" s="874"/>
      <c r="E10" s="874"/>
      <c r="F10" s="874"/>
      <c r="G10" s="874"/>
      <c r="H10" s="874"/>
      <c r="I10" s="874"/>
    </row>
    <row r="11" spans="1:9" ht="15" x14ac:dyDescent="0.2">
      <c r="A11" s="71">
        <v>1</v>
      </c>
      <c r="B11" s="71" t="s">
        <v>3754</v>
      </c>
      <c r="C11" s="79">
        <v>1</v>
      </c>
      <c r="D11" s="79">
        <v>2</v>
      </c>
      <c r="E11" s="76">
        <f t="shared" ref="E11:E18" si="0">C11*(1/D11)</f>
        <v>0.5</v>
      </c>
      <c r="F11" s="585">
        <v>150.47999999999999</v>
      </c>
      <c r="G11" s="172">
        <v>1</v>
      </c>
      <c r="H11" s="172">
        <f t="shared" ref="H11:H19" si="1">F11*G11</f>
        <v>150.47999999999999</v>
      </c>
      <c r="I11" s="186">
        <f>E11*H11</f>
        <v>75.239999999999995</v>
      </c>
    </row>
    <row r="12" spans="1:9" ht="15" x14ac:dyDescent="0.2">
      <c r="A12" s="71">
        <v>2</v>
      </c>
      <c r="B12" s="71" t="s">
        <v>3755</v>
      </c>
      <c r="C12" s="79">
        <v>1</v>
      </c>
      <c r="D12" s="79">
        <v>2</v>
      </c>
      <c r="E12" s="76">
        <f t="shared" si="0"/>
        <v>0.5</v>
      </c>
      <c r="F12" s="585">
        <v>75</v>
      </c>
      <c r="G12" s="172">
        <v>1</v>
      </c>
      <c r="H12" s="172">
        <f t="shared" si="1"/>
        <v>75</v>
      </c>
      <c r="I12" s="186">
        <f t="shared" ref="I12:I19" si="2">E12*H12</f>
        <v>37.5</v>
      </c>
    </row>
    <row r="13" spans="1:9" ht="15" x14ac:dyDescent="0.2">
      <c r="A13" s="71">
        <v>3</v>
      </c>
      <c r="B13" s="71" t="s">
        <v>4153</v>
      </c>
      <c r="C13" s="79">
        <v>1</v>
      </c>
      <c r="D13" s="79">
        <v>2</v>
      </c>
      <c r="E13" s="76">
        <f t="shared" si="0"/>
        <v>0.5</v>
      </c>
      <c r="F13" s="585">
        <v>80</v>
      </c>
      <c r="G13" s="172">
        <v>1</v>
      </c>
      <c r="H13" s="172">
        <f t="shared" si="1"/>
        <v>80</v>
      </c>
      <c r="I13" s="186">
        <f t="shared" si="2"/>
        <v>40</v>
      </c>
    </row>
    <row r="14" spans="1:9" ht="15" x14ac:dyDescent="0.2">
      <c r="A14" s="71">
        <v>4</v>
      </c>
      <c r="B14" s="71" t="s">
        <v>3761</v>
      </c>
      <c r="C14" s="79">
        <v>1</v>
      </c>
      <c r="D14" s="79">
        <v>2</v>
      </c>
      <c r="E14" s="76">
        <f t="shared" si="0"/>
        <v>0.5</v>
      </c>
      <c r="F14" s="585">
        <v>58.7</v>
      </c>
      <c r="G14" s="172">
        <v>1</v>
      </c>
      <c r="H14" s="172">
        <f t="shared" si="1"/>
        <v>58.7</v>
      </c>
      <c r="I14" s="186">
        <f t="shared" si="2"/>
        <v>29.35</v>
      </c>
    </row>
    <row r="15" spans="1:9" ht="15" x14ac:dyDescent="0.2">
      <c r="A15" s="71">
        <v>5</v>
      </c>
      <c r="B15" s="71" t="s">
        <v>3757</v>
      </c>
      <c r="C15" s="79">
        <v>1</v>
      </c>
      <c r="D15" s="79">
        <v>2</v>
      </c>
      <c r="E15" s="76">
        <f t="shared" si="0"/>
        <v>0.5</v>
      </c>
      <c r="F15" s="585">
        <v>40</v>
      </c>
      <c r="G15" s="172">
        <v>1</v>
      </c>
      <c r="H15" s="172">
        <f t="shared" si="1"/>
        <v>40</v>
      </c>
      <c r="I15" s="186">
        <f t="shared" si="2"/>
        <v>20</v>
      </c>
    </row>
    <row r="16" spans="1:9" ht="15" x14ac:dyDescent="0.2">
      <c r="A16" s="71">
        <v>6</v>
      </c>
      <c r="B16" s="71" t="s">
        <v>3758</v>
      </c>
      <c r="C16" s="79">
        <v>1</v>
      </c>
      <c r="D16" s="79">
        <v>20</v>
      </c>
      <c r="E16" s="76">
        <f t="shared" si="0"/>
        <v>0.05</v>
      </c>
      <c r="F16" s="585">
        <v>55.4</v>
      </c>
      <c r="G16" s="172">
        <v>1</v>
      </c>
      <c r="H16" s="172">
        <f t="shared" si="1"/>
        <v>55.4</v>
      </c>
      <c r="I16" s="186">
        <f t="shared" si="2"/>
        <v>2.77</v>
      </c>
    </row>
    <row r="17" spans="1:9" ht="15" x14ac:dyDescent="0.2">
      <c r="A17" s="71">
        <v>7</v>
      </c>
      <c r="B17" s="71" t="s">
        <v>3759</v>
      </c>
      <c r="C17" s="79">
        <v>1</v>
      </c>
      <c r="D17" s="79">
        <v>20</v>
      </c>
      <c r="E17" s="76">
        <f>C17*(1/D17)</f>
        <v>0.05</v>
      </c>
      <c r="F17" s="585">
        <v>55.4</v>
      </c>
      <c r="G17" s="172">
        <v>1</v>
      </c>
      <c r="H17" s="172">
        <f t="shared" si="1"/>
        <v>55.4</v>
      </c>
      <c r="I17" s="186">
        <f t="shared" si="2"/>
        <v>2.77</v>
      </c>
    </row>
    <row r="18" spans="1:9" s="95" customFormat="1" ht="15" x14ac:dyDescent="0.2">
      <c r="A18" s="137">
        <v>8</v>
      </c>
      <c r="B18" s="137" t="s">
        <v>4325</v>
      </c>
      <c r="C18" s="79">
        <v>1</v>
      </c>
      <c r="D18" s="79">
        <v>2</v>
      </c>
      <c r="E18" s="496">
        <f t="shared" si="0"/>
        <v>0.5</v>
      </c>
      <c r="F18" s="585">
        <v>78.099999999999994</v>
      </c>
      <c r="G18" s="497">
        <v>1</v>
      </c>
      <c r="H18" s="497">
        <f t="shared" si="1"/>
        <v>78.099999999999994</v>
      </c>
      <c r="I18" s="399">
        <f t="shared" si="2"/>
        <v>39.049999999999997</v>
      </c>
    </row>
    <row r="19" spans="1:9" s="95" customFormat="1" ht="15" x14ac:dyDescent="0.2">
      <c r="A19" s="137">
        <v>9</v>
      </c>
      <c r="B19" s="137" t="s">
        <v>4326</v>
      </c>
      <c r="C19" s="79">
        <v>1</v>
      </c>
      <c r="D19" s="79">
        <v>2</v>
      </c>
      <c r="E19" s="496">
        <f>C19*(1/D19)</f>
        <v>0.5</v>
      </c>
      <c r="F19" s="585">
        <v>38.96</v>
      </c>
      <c r="G19" s="497">
        <v>1</v>
      </c>
      <c r="H19" s="497">
        <f t="shared" si="1"/>
        <v>38.96</v>
      </c>
      <c r="I19" s="399">
        <f t="shared" si="2"/>
        <v>19.48</v>
      </c>
    </row>
    <row r="20" spans="1:9" ht="15" x14ac:dyDescent="0.2">
      <c r="A20" s="81"/>
      <c r="B20" s="137" t="s">
        <v>3825</v>
      </c>
      <c r="C20" s="81"/>
      <c r="D20" s="81"/>
      <c r="E20" s="81"/>
      <c r="F20" s="81"/>
      <c r="G20" s="81"/>
      <c r="H20" s="81"/>
      <c r="I20" s="186">
        <f>SUM(I11:I19)</f>
        <v>266.16000000000003</v>
      </c>
    </row>
  </sheetData>
  <mergeCells count="6">
    <mergeCell ref="A10:I10"/>
    <mergeCell ref="B1:E1"/>
    <mergeCell ref="B2:E2"/>
    <mergeCell ref="B7:I7"/>
    <mergeCell ref="F2:I2"/>
    <mergeCell ref="F1:I1"/>
  </mergeCells>
  <pageMargins left="0.6692913385826772" right="0.23622047244094491" top="0.74803149606299213" bottom="0.74803149606299213" header="0.31496062992125984" footer="0.31496062992125984"/>
  <pageSetup paperSize="9" scale="80" orientation="landscape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Q40"/>
  <sheetViews>
    <sheetView workbookViewId="0">
      <selection activeCell="M1" sqref="M1:P1"/>
    </sheetView>
  </sheetViews>
  <sheetFormatPr defaultColWidth="9.140625" defaultRowHeight="12.75" x14ac:dyDescent="0.2"/>
  <cols>
    <col min="1" max="1" width="25.42578125" style="27" customWidth="1"/>
    <col min="2" max="2" width="11.5703125" style="27" customWidth="1"/>
    <col min="3" max="3" width="8.28515625" style="27" customWidth="1"/>
    <col min="4" max="4" width="13" style="27" customWidth="1"/>
    <col min="5" max="5" width="9.140625" style="27"/>
    <col min="6" max="6" width="11.85546875" style="27" hidden="1" customWidth="1"/>
    <col min="7" max="10" width="9.140625" style="27"/>
    <col min="11" max="11" width="7.42578125" style="27" customWidth="1"/>
    <col min="12" max="12" width="7.140625" style="27" customWidth="1"/>
    <col min="13" max="13" width="7" style="27" customWidth="1"/>
    <col min="14" max="14" width="10.28515625" style="27" customWidth="1"/>
    <col min="15" max="15" width="9.7109375" style="27" customWidth="1"/>
    <col min="16" max="16" width="10.7109375" style="127" customWidth="1"/>
    <col min="17" max="17" width="9.140625" style="27"/>
    <col min="18" max="18" width="11.7109375" style="27" customWidth="1"/>
    <col min="19" max="16384" width="9.140625" style="27"/>
  </cols>
  <sheetData>
    <row r="1" spans="1:16" s="24" customFormat="1" ht="15" x14ac:dyDescent="0.2">
      <c r="M1" s="801" t="s">
        <v>4727</v>
      </c>
      <c r="N1" s="801"/>
      <c r="O1" s="801"/>
      <c r="P1" s="801"/>
    </row>
    <row r="2" spans="1:16" s="24" customFormat="1" ht="15" x14ac:dyDescent="0.2">
      <c r="M2" s="801" t="s">
        <v>4586</v>
      </c>
      <c r="N2" s="801"/>
      <c r="O2" s="801"/>
      <c r="P2" s="801"/>
    </row>
    <row r="3" spans="1:16" s="24" customFormat="1" ht="15.75" x14ac:dyDescent="0.25">
      <c r="P3" s="128"/>
    </row>
    <row r="4" spans="1:16" s="24" customFormat="1" ht="15.75" x14ac:dyDescent="0.25">
      <c r="P4" s="128"/>
    </row>
    <row r="5" spans="1:16" s="41" customFormat="1" ht="15.75" x14ac:dyDescent="0.25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129"/>
    </row>
    <row r="6" spans="1:16" ht="31.5" customHeight="1" x14ac:dyDescent="0.2">
      <c r="A6" s="787" t="s">
        <v>4163</v>
      </c>
      <c r="B6" s="787"/>
      <c r="C6" s="787"/>
      <c r="D6" s="787"/>
      <c r="E6" s="787"/>
      <c r="F6" s="787"/>
      <c r="G6" s="787"/>
      <c r="H6" s="787"/>
      <c r="I6" s="787"/>
      <c r="J6" s="787"/>
      <c r="K6" s="787"/>
      <c r="L6" s="787"/>
      <c r="M6" s="787"/>
      <c r="N6" s="787"/>
      <c r="O6" s="787"/>
      <c r="P6" s="787"/>
    </row>
    <row r="7" spans="1:16" x14ac:dyDescent="0.2">
      <c r="A7" s="243"/>
      <c r="B7" s="244"/>
      <c r="C7" s="244"/>
      <c r="D7" s="244"/>
      <c r="E7" s="244"/>
      <c r="F7" s="244"/>
      <c r="G7" s="244"/>
      <c r="H7" s="244"/>
      <c r="I7" s="244"/>
      <c r="J7" s="244"/>
      <c r="K7" s="244"/>
      <c r="L7" s="244"/>
      <c r="M7" s="244"/>
      <c r="N7" s="244"/>
      <c r="O7" s="244"/>
    </row>
    <row r="8" spans="1:16" s="45" customFormat="1" ht="13.15" customHeight="1" x14ac:dyDescent="0.2">
      <c r="A8" s="338"/>
      <c r="B8" s="338" t="s">
        <v>11</v>
      </c>
      <c r="C8" s="338" t="s">
        <v>11</v>
      </c>
      <c r="D8" s="338" t="s">
        <v>12</v>
      </c>
      <c r="E8" s="338" t="s">
        <v>85</v>
      </c>
      <c r="F8" s="338" t="s">
        <v>12</v>
      </c>
      <c r="G8" s="338" t="s">
        <v>86</v>
      </c>
      <c r="H8" s="338" t="s">
        <v>88</v>
      </c>
      <c r="I8" s="338" t="s">
        <v>4589</v>
      </c>
      <c r="J8" s="338" t="s">
        <v>14</v>
      </c>
      <c r="K8" s="338" t="s">
        <v>15</v>
      </c>
      <c r="L8" s="338" t="s">
        <v>16</v>
      </c>
      <c r="M8" s="338" t="s">
        <v>17</v>
      </c>
      <c r="N8" s="338" t="s">
        <v>89</v>
      </c>
      <c r="O8" s="338" t="s">
        <v>18</v>
      </c>
      <c r="P8" s="875" t="s">
        <v>3908</v>
      </c>
    </row>
    <row r="9" spans="1:16" s="45" customFormat="1" ht="11.25" customHeight="1" x14ac:dyDescent="0.2">
      <c r="A9" s="338"/>
      <c r="B9" s="338" t="s">
        <v>82</v>
      </c>
      <c r="C9" s="338" t="s">
        <v>83</v>
      </c>
      <c r="D9" s="338"/>
      <c r="E9" s="338" t="s">
        <v>19</v>
      </c>
      <c r="F9" s="338"/>
      <c r="G9" s="338" t="s">
        <v>87</v>
      </c>
      <c r="H9" s="338" t="s">
        <v>19</v>
      </c>
      <c r="I9" s="338" t="s">
        <v>87</v>
      </c>
      <c r="J9" s="338" t="s">
        <v>22</v>
      </c>
      <c r="K9" s="338"/>
      <c r="L9" s="338"/>
      <c r="M9" s="338"/>
      <c r="N9" s="338" t="s">
        <v>90</v>
      </c>
      <c r="O9" s="338" t="s">
        <v>23</v>
      </c>
      <c r="P9" s="875"/>
    </row>
    <row r="10" spans="1:16" s="45" customFormat="1" ht="43.9" customHeight="1" x14ac:dyDescent="0.2">
      <c r="A10" s="338" t="s">
        <v>24</v>
      </c>
      <c r="B10" s="338" t="s">
        <v>92</v>
      </c>
      <c r="C10" s="338" t="s">
        <v>92</v>
      </c>
      <c r="D10" s="338" t="s">
        <v>91</v>
      </c>
      <c r="E10" s="338" t="s">
        <v>91</v>
      </c>
      <c r="F10" s="338" t="s">
        <v>91</v>
      </c>
      <c r="G10" s="338" t="s">
        <v>93</v>
      </c>
      <c r="H10" s="338" t="s">
        <v>91</v>
      </c>
      <c r="I10" s="338" t="s">
        <v>91</v>
      </c>
      <c r="J10" s="338" t="s">
        <v>95</v>
      </c>
      <c r="K10" s="338" t="s">
        <v>94</v>
      </c>
      <c r="L10" s="338" t="s">
        <v>94</v>
      </c>
      <c r="M10" s="338" t="s">
        <v>94</v>
      </c>
      <c r="N10" s="338" t="s">
        <v>94</v>
      </c>
      <c r="O10" s="338" t="s">
        <v>94</v>
      </c>
      <c r="P10" s="875"/>
    </row>
    <row r="11" spans="1:16" s="45" customFormat="1" ht="14.25" customHeight="1" x14ac:dyDescent="0.2">
      <c r="A11" s="47" t="s">
        <v>4380</v>
      </c>
      <c r="B11" s="140">
        <v>37.909999999999997</v>
      </c>
      <c r="C11" s="140">
        <v>35.99</v>
      </c>
      <c r="D11" s="140">
        <v>52.5</v>
      </c>
      <c r="E11" s="140">
        <v>148</v>
      </c>
      <c r="F11" s="140"/>
      <c r="G11" s="140">
        <v>150.52000000000001</v>
      </c>
      <c r="H11" s="140">
        <v>255.57</v>
      </c>
      <c r="I11" s="140">
        <v>94.7</v>
      </c>
      <c r="J11" s="140">
        <v>34.479999999999997</v>
      </c>
      <c r="K11" s="140">
        <v>104.5</v>
      </c>
      <c r="L11" s="140">
        <v>152.76</v>
      </c>
      <c r="M11" s="140">
        <v>46.69</v>
      </c>
      <c r="N11" s="140">
        <v>22.92</v>
      </c>
      <c r="O11" s="140">
        <v>198.22</v>
      </c>
      <c r="P11" s="294"/>
    </row>
    <row r="12" spans="1:16" s="45" customFormat="1" ht="12.75" customHeight="1" x14ac:dyDescent="0.2">
      <c r="A12" s="47" t="s">
        <v>4587</v>
      </c>
      <c r="B12" s="242">
        <v>1</v>
      </c>
      <c r="C12" s="242">
        <v>1</v>
      </c>
      <c r="D12" s="242">
        <v>1</v>
      </c>
      <c r="E12" s="242">
        <v>1</v>
      </c>
      <c r="F12" s="242">
        <v>1</v>
      </c>
      <c r="G12" s="242">
        <v>1</v>
      </c>
      <c r="H12" s="242">
        <v>1</v>
      </c>
      <c r="I12" s="242">
        <v>1</v>
      </c>
      <c r="J12" s="242">
        <v>1</v>
      </c>
      <c r="K12" s="242">
        <v>1</v>
      </c>
      <c r="L12" s="242">
        <v>1</v>
      </c>
      <c r="M12" s="242">
        <v>1</v>
      </c>
      <c r="N12" s="242">
        <v>1</v>
      </c>
      <c r="O12" s="242">
        <v>1</v>
      </c>
      <c r="P12" s="294"/>
    </row>
    <row r="13" spans="1:16" s="45" customFormat="1" ht="14.25" customHeight="1" x14ac:dyDescent="0.2">
      <c r="A13" s="47" t="s">
        <v>4588</v>
      </c>
      <c r="B13" s="278">
        <f>B11*B12</f>
        <v>37.909999999999997</v>
      </c>
      <c r="C13" s="278">
        <f t="shared" ref="C13:O13" si="0">C11*C12</f>
        <v>35.99</v>
      </c>
      <c r="D13" s="278">
        <f t="shared" si="0"/>
        <v>52.5</v>
      </c>
      <c r="E13" s="278">
        <f t="shared" si="0"/>
        <v>148</v>
      </c>
      <c r="F13" s="278"/>
      <c r="G13" s="278">
        <f t="shared" si="0"/>
        <v>150.52000000000001</v>
      </c>
      <c r="H13" s="278">
        <f t="shared" si="0"/>
        <v>255.57</v>
      </c>
      <c r="I13" s="278">
        <f t="shared" si="0"/>
        <v>94.7</v>
      </c>
      <c r="J13" s="278">
        <f>J11*J12</f>
        <v>34.479999999999997</v>
      </c>
      <c r="K13" s="278">
        <f t="shared" si="0"/>
        <v>104.5</v>
      </c>
      <c r="L13" s="278">
        <f t="shared" si="0"/>
        <v>152.76</v>
      </c>
      <c r="M13" s="278">
        <f t="shared" si="0"/>
        <v>46.69</v>
      </c>
      <c r="N13" s="278">
        <f t="shared" si="0"/>
        <v>22.92</v>
      </c>
      <c r="O13" s="278">
        <f t="shared" si="0"/>
        <v>198.22</v>
      </c>
      <c r="P13" s="294"/>
    </row>
    <row r="14" spans="1:16" ht="15" x14ac:dyDescent="0.2">
      <c r="A14" s="339" t="s">
        <v>4538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294"/>
    </row>
    <row r="15" spans="1:16" hidden="1" x14ac:dyDescent="0.2">
      <c r="A15" s="30" t="s">
        <v>25</v>
      </c>
      <c r="B15" s="31">
        <v>4</v>
      </c>
      <c r="C15" s="31">
        <v>5</v>
      </c>
      <c r="D15" s="31">
        <v>0.3</v>
      </c>
      <c r="E15" s="31">
        <v>1</v>
      </c>
      <c r="F15" s="31">
        <v>0.5</v>
      </c>
      <c r="G15" s="31">
        <v>1</v>
      </c>
      <c r="H15" s="31">
        <v>0.5</v>
      </c>
      <c r="I15" s="31">
        <v>2</v>
      </c>
      <c r="J15" s="31">
        <v>0.5</v>
      </c>
      <c r="K15" s="31">
        <f>1/3</f>
        <v>0.33333333333333331</v>
      </c>
      <c r="L15" s="31">
        <f>1</f>
        <v>1</v>
      </c>
      <c r="M15" s="31">
        <v>1</v>
      </c>
      <c r="N15" s="31">
        <v>1</v>
      </c>
      <c r="O15" s="31">
        <v>2</v>
      </c>
      <c r="P15" s="294"/>
    </row>
    <row r="16" spans="1:16" hidden="1" x14ac:dyDescent="0.2">
      <c r="A16" s="30" t="s">
        <v>26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294"/>
    </row>
    <row r="17" spans="1:17" hidden="1" x14ac:dyDescent="0.2">
      <c r="A17" s="30" t="s">
        <v>27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126"/>
    </row>
    <row r="18" spans="1:17" hidden="1" x14ac:dyDescent="0.2">
      <c r="A18" s="30" t="s">
        <v>25</v>
      </c>
      <c r="B18" s="31">
        <v>5</v>
      </c>
      <c r="C18" s="31"/>
      <c r="D18" s="31">
        <v>1.2</v>
      </c>
      <c r="E18" s="31">
        <v>4</v>
      </c>
      <c r="F18" s="31"/>
      <c r="G18" s="31"/>
      <c r="H18" s="31"/>
      <c r="I18" s="31">
        <v>0.33</v>
      </c>
      <c r="J18" s="31"/>
      <c r="K18" s="31"/>
      <c r="L18" s="31"/>
      <c r="M18" s="31"/>
      <c r="N18" s="31"/>
      <c r="O18" s="31"/>
      <c r="P18" s="126"/>
    </row>
    <row r="19" spans="1:17" hidden="1" x14ac:dyDescent="0.2">
      <c r="A19" s="30" t="s">
        <v>28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126"/>
    </row>
    <row r="20" spans="1:17" hidden="1" x14ac:dyDescent="0.2">
      <c r="A20" s="30" t="s">
        <v>25</v>
      </c>
      <c r="B20" s="31">
        <v>2</v>
      </c>
      <c r="C20" s="31"/>
      <c r="D20" s="31">
        <v>0.6</v>
      </c>
      <c r="E20" s="31">
        <v>2</v>
      </c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126"/>
    </row>
    <row r="21" spans="1:17" hidden="1" x14ac:dyDescent="0.2">
      <c r="A21" s="340" t="s">
        <v>29</v>
      </c>
      <c r="B21" s="340"/>
      <c r="C21" s="340"/>
      <c r="D21" s="340"/>
      <c r="E21" s="340"/>
      <c r="F21" s="340"/>
      <c r="G21" s="340"/>
      <c r="H21" s="340"/>
      <c r="I21" s="340"/>
      <c r="J21" s="340"/>
      <c r="K21" s="340"/>
      <c r="L21" s="340"/>
      <c r="M21" s="340"/>
      <c r="N21" s="340"/>
      <c r="O21" s="340"/>
      <c r="P21" s="126"/>
    </row>
    <row r="22" spans="1:17" hidden="1" x14ac:dyDescent="0.2">
      <c r="A22" s="30" t="s">
        <v>30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126"/>
    </row>
    <row r="23" spans="1:17" hidden="1" x14ac:dyDescent="0.2">
      <c r="A23" s="30" t="s">
        <v>31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126"/>
    </row>
    <row r="24" spans="1:17" hidden="1" x14ac:dyDescent="0.2">
      <c r="A24" s="340" t="s">
        <v>25</v>
      </c>
      <c r="B24" s="31">
        <v>1.5</v>
      </c>
      <c r="C24" s="31">
        <v>1.5</v>
      </c>
      <c r="D24" s="31">
        <v>0.3</v>
      </c>
      <c r="E24" s="31">
        <v>0.5</v>
      </c>
      <c r="F24" s="31">
        <v>0</v>
      </c>
      <c r="G24" s="31">
        <v>1</v>
      </c>
      <c r="H24" s="31">
        <v>0.25</v>
      </c>
      <c r="I24" s="31">
        <v>0.2</v>
      </c>
      <c r="J24" s="31">
        <v>0.5</v>
      </c>
      <c r="K24" s="31">
        <v>0.25</v>
      </c>
      <c r="L24" s="31">
        <v>0.5</v>
      </c>
      <c r="M24" s="31"/>
      <c r="N24" s="31">
        <v>0.5</v>
      </c>
      <c r="O24" s="31">
        <v>0.5</v>
      </c>
      <c r="P24" s="126"/>
    </row>
    <row r="25" spans="1:17" x14ac:dyDescent="0.2">
      <c r="A25" s="341" t="s">
        <v>32</v>
      </c>
      <c r="B25" s="341"/>
      <c r="C25" s="341"/>
      <c r="D25" s="341"/>
      <c r="E25" s="341"/>
      <c r="F25" s="341"/>
      <c r="G25" s="341"/>
      <c r="H25" s="341"/>
      <c r="I25" s="341"/>
      <c r="J25" s="341"/>
      <c r="K25" s="341"/>
      <c r="L25" s="341"/>
      <c r="M25" s="341"/>
      <c r="N25" s="341"/>
      <c r="O25" s="341"/>
      <c r="P25" s="126"/>
    </row>
    <row r="26" spans="1:17" x14ac:dyDescent="0.2">
      <c r="A26" s="341" t="s">
        <v>33</v>
      </c>
      <c r="B26" s="125">
        <v>10.5</v>
      </c>
      <c r="C26" s="125">
        <v>6.5</v>
      </c>
      <c r="D26" s="125">
        <v>1.8</v>
      </c>
      <c r="E26" s="125">
        <f t="shared" ref="E26:O26" si="1">E24+E18+E15</f>
        <v>5.5</v>
      </c>
      <c r="F26" s="125">
        <v>0</v>
      </c>
      <c r="G26" s="125">
        <f t="shared" si="1"/>
        <v>2</v>
      </c>
      <c r="H26" s="125">
        <f t="shared" si="1"/>
        <v>0.75</v>
      </c>
      <c r="I26" s="125">
        <v>2.5</v>
      </c>
      <c r="J26" s="125">
        <v>4</v>
      </c>
      <c r="K26" s="125">
        <v>0.6</v>
      </c>
      <c r="L26" s="125">
        <v>1.5</v>
      </c>
      <c r="M26" s="125">
        <f t="shared" si="1"/>
        <v>1</v>
      </c>
      <c r="N26" s="125">
        <f t="shared" si="1"/>
        <v>1.5</v>
      </c>
      <c r="O26" s="125">
        <f t="shared" si="1"/>
        <v>2.5</v>
      </c>
      <c r="P26" s="126"/>
    </row>
    <row r="27" spans="1:17" x14ac:dyDescent="0.2">
      <c r="A27" s="341" t="s">
        <v>3821</v>
      </c>
      <c r="B27" s="125">
        <f>B26*B13</f>
        <v>398.05499999999995</v>
      </c>
      <c r="C27" s="125">
        <f t="shared" ref="C27:O27" si="2">C26*C13</f>
        <v>233.935</v>
      </c>
      <c r="D27" s="125">
        <f t="shared" si="2"/>
        <v>94.5</v>
      </c>
      <c r="E27" s="125">
        <f>E26*E13</f>
        <v>814</v>
      </c>
      <c r="F27" s="549">
        <v>0</v>
      </c>
      <c r="G27" s="125">
        <f t="shared" si="2"/>
        <v>301.04000000000002</v>
      </c>
      <c r="H27" s="125">
        <f t="shared" si="2"/>
        <v>191.67750000000001</v>
      </c>
      <c r="I27" s="125">
        <f t="shared" si="2"/>
        <v>236.75</v>
      </c>
      <c r="J27" s="125">
        <f t="shared" si="2"/>
        <v>137.91999999999999</v>
      </c>
      <c r="K27" s="125">
        <f t="shared" si="2"/>
        <v>62.699999999999996</v>
      </c>
      <c r="L27" s="125">
        <f t="shared" si="2"/>
        <v>229.14</v>
      </c>
      <c r="M27" s="125">
        <f t="shared" si="2"/>
        <v>46.69</v>
      </c>
      <c r="N27" s="125">
        <f t="shared" si="2"/>
        <v>34.380000000000003</v>
      </c>
      <c r="O27" s="125">
        <f t="shared" si="2"/>
        <v>495.55</v>
      </c>
      <c r="P27" s="167">
        <f>SUM(B27:O27)*12</f>
        <v>39316.050000000003</v>
      </c>
      <c r="Q27" s="262"/>
    </row>
    <row r="28" spans="1:17" hidden="1" x14ac:dyDescent="0.2">
      <c r="A28" s="341" t="s">
        <v>32</v>
      </c>
      <c r="B28" s="341"/>
      <c r="C28" s="341"/>
      <c r="D28" s="341"/>
      <c r="E28" s="341"/>
      <c r="F28" s="341"/>
      <c r="G28" s="341"/>
      <c r="H28" s="341"/>
      <c r="I28" s="341"/>
      <c r="J28" s="341"/>
      <c r="K28" s="341"/>
      <c r="L28" s="341"/>
      <c r="M28" s="341"/>
      <c r="N28" s="341"/>
      <c r="O28" s="341"/>
      <c r="P28" s="167"/>
      <c r="Q28" s="262"/>
    </row>
    <row r="29" spans="1:17" hidden="1" x14ac:dyDescent="0.2">
      <c r="A29" s="341" t="s">
        <v>34</v>
      </c>
      <c r="B29" s="125">
        <f t="shared" ref="B29:O29" si="3">B24+B20+B15</f>
        <v>7.5</v>
      </c>
      <c r="C29" s="125">
        <f t="shared" si="3"/>
        <v>6.5</v>
      </c>
      <c r="D29" s="125">
        <f t="shared" si="3"/>
        <v>1.2</v>
      </c>
      <c r="E29" s="125">
        <f t="shared" si="3"/>
        <v>3.5</v>
      </c>
      <c r="F29" s="125">
        <f t="shared" si="3"/>
        <v>0.5</v>
      </c>
      <c r="G29" s="125">
        <f t="shared" si="3"/>
        <v>2</v>
      </c>
      <c r="H29" s="125">
        <f t="shared" si="3"/>
        <v>0.75</v>
      </c>
      <c r="I29" s="125">
        <f t="shared" si="3"/>
        <v>2.2000000000000002</v>
      </c>
      <c r="J29" s="125">
        <f t="shared" si="3"/>
        <v>1</v>
      </c>
      <c r="K29" s="125">
        <f t="shared" si="3"/>
        <v>0.58333333333333326</v>
      </c>
      <c r="L29" s="125">
        <f t="shared" si="3"/>
        <v>1.5</v>
      </c>
      <c r="M29" s="125">
        <f t="shared" si="3"/>
        <v>1</v>
      </c>
      <c r="N29" s="125">
        <f t="shared" si="3"/>
        <v>1.5</v>
      </c>
      <c r="O29" s="125">
        <f t="shared" si="3"/>
        <v>2.5</v>
      </c>
      <c r="P29" s="167"/>
      <c r="Q29" s="262"/>
    </row>
    <row r="30" spans="1:17" ht="17.25" hidden="1" customHeight="1" x14ac:dyDescent="0.2">
      <c r="A30" s="341" t="s">
        <v>3821</v>
      </c>
      <c r="B30" s="125">
        <f>B29*B13</f>
        <v>284.32499999999999</v>
      </c>
      <c r="C30" s="125">
        <f t="shared" ref="C30:O30" si="4">C29*C13</f>
        <v>233.935</v>
      </c>
      <c r="D30" s="125">
        <f t="shared" si="4"/>
        <v>63</v>
      </c>
      <c r="E30" s="125">
        <f t="shared" si="4"/>
        <v>518</v>
      </c>
      <c r="F30" s="125">
        <f t="shared" si="4"/>
        <v>0</v>
      </c>
      <c r="G30" s="125">
        <f t="shared" si="4"/>
        <v>301.04000000000002</v>
      </c>
      <c r="H30" s="125">
        <f t="shared" si="4"/>
        <v>191.67750000000001</v>
      </c>
      <c r="I30" s="125">
        <f t="shared" si="4"/>
        <v>208.34000000000003</v>
      </c>
      <c r="J30" s="125">
        <f t="shared" si="4"/>
        <v>34.479999999999997</v>
      </c>
      <c r="K30" s="125">
        <f t="shared" si="4"/>
        <v>60.958333333333329</v>
      </c>
      <c r="L30" s="125">
        <f t="shared" si="4"/>
        <v>229.14</v>
      </c>
      <c r="M30" s="125">
        <f t="shared" si="4"/>
        <v>46.69</v>
      </c>
      <c r="N30" s="125">
        <f t="shared" si="4"/>
        <v>34.380000000000003</v>
      </c>
      <c r="O30" s="125">
        <f t="shared" si="4"/>
        <v>495.55</v>
      </c>
      <c r="P30" s="167">
        <f>SUM(B30:O30)*12</f>
        <v>32418.190000000006</v>
      </c>
      <c r="Q30" s="262"/>
    </row>
    <row r="31" spans="1:17" ht="15.75" x14ac:dyDescent="0.25">
      <c r="A31" s="339" t="s">
        <v>4539</v>
      </c>
      <c r="B31" s="342"/>
      <c r="C31" s="30"/>
      <c r="D31" s="342"/>
      <c r="E31" s="342"/>
      <c r="F31" s="342"/>
      <c r="G31" s="342"/>
      <c r="H31" s="342"/>
      <c r="I31" s="342"/>
      <c r="J31" s="342"/>
      <c r="K31" s="342"/>
      <c r="L31" s="342"/>
      <c r="M31" s="342"/>
      <c r="N31" s="342"/>
      <c r="O31" s="342"/>
      <c r="P31" s="167"/>
      <c r="Q31" s="262"/>
    </row>
    <row r="32" spans="1:17" s="127" customFormat="1" x14ac:dyDescent="0.2">
      <c r="A32" s="126" t="s">
        <v>64</v>
      </c>
      <c r="B32" s="126">
        <v>2</v>
      </c>
      <c r="C32" s="126">
        <v>2</v>
      </c>
      <c r="D32" s="126">
        <v>0.5</v>
      </c>
      <c r="E32" s="126">
        <v>2</v>
      </c>
      <c r="F32" s="126">
        <v>0</v>
      </c>
      <c r="G32" s="126">
        <v>2</v>
      </c>
      <c r="H32" s="126">
        <v>0</v>
      </c>
      <c r="I32" s="126">
        <v>0.4</v>
      </c>
      <c r="J32" s="126">
        <v>3</v>
      </c>
      <c r="K32" s="126">
        <v>0.25</v>
      </c>
      <c r="L32" s="126">
        <v>1</v>
      </c>
      <c r="M32" s="126">
        <v>1</v>
      </c>
      <c r="N32" s="126">
        <v>1</v>
      </c>
      <c r="O32" s="126">
        <v>1</v>
      </c>
      <c r="P32" s="167"/>
      <c r="Q32" s="262"/>
    </row>
    <row r="33" spans="1:17" s="127" customFormat="1" x14ac:dyDescent="0.2">
      <c r="A33" s="126" t="s">
        <v>3821</v>
      </c>
      <c r="B33" s="126">
        <f>B32*B13</f>
        <v>75.819999999999993</v>
      </c>
      <c r="C33" s="126">
        <f t="shared" ref="C33:O33" si="5">C32*C13</f>
        <v>71.98</v>
      </c>
      <c r="D33" s="126">
        <f t="shared" si="5"/>
        <v>26.25</v>
      </c>
      <c r="E33" s="126">
        <f t="shared" si="5"/>
        <v>296</v>
      </c>
      <c r="F33" s="126">
        <f t="shared" si="5"/>
        <v>0</v>
      </c>
      <c r="G33" s="126">
        <f t="shared" si="5"/>
        <v>301.04000000000002</v>
      </c>
      <c r="H33" s="126">
        <f t="shared" si="5"/>
        <v>0</v>
      </c>
      <c r="I33" s="126">
        <f t="shared" si="5"/>
        <v>37.880000000000003</v>
      </c>
      <c r="J33" s="126">
        <f t="shared" si="5"/>
        <v>103.44</v>
      </c>
      <c r="K33" s="126">
        <f t="shared" si="5"/>
        <v>26.125</v>
      </c>
      <c r="L33" s="126">
        <f t="shared" si="5"/>
        <v>152.76</v>
      </c>
      <c r="M33" s="126">
        <f t="shared" si="5"/>
        <v>46.69</v>
      </c>
      <c r="N33" s="126">
        <f t="shared" si="5"/>
        <v>22.92</v>
      </c>
      <c r="O33" s="126">
        <f t="shared" si="5"/>
        <v>198.22</v>
      </c>
      <c r="P33" s="263">
        <f>SUM(B33:O33)*12</f>
        <v>16309.500000000004</v>
      </c>
      <c r="Q33" s="262"/>
    </row>
    <row r="34" spans="1:17" ht="15.75" x14ac:dyDescent="0.25">
      <c r="A34" s="339" t="s">
        <v>36</v>
      </c>
      <c r="B34" s="342"/>
      <c r="C34" s="30"/>
      <c r="D34" s="342"/>
      <c r="E34" s="342"/>
      <c r="F34" s="342"/>
      <c r="G34" s="342"/>
      <c r="H34" s="342"/>
      <c r="I34" s="342"/>
      <c r="J34" s="342"/>
      <c r="K34" s="342"/>
      <c r="L34" s="342"/>
      <c r="M34" s="342"/>
      <c r="N34" s="342"/>
      <c r="O34" s="342"/>
      <c r="P34" s="167"/>
      <c r="Q34" s="262"/>
    </row>
    <row r="35" spans="1:17" s="127" customFormat="1" x14ac:dyDescent="0.2">
      <c r="A35" s="126" t="s">
        <v>3869</v>
      </c>
      <c r="B35" s="126">
        <v>20</v>
      </c>
      <c r="C35" s="126">
        <v>15</v>
      </c>
      <c r="D35" s="126">
        <v>5</v>
      </c>
      <c r="E35" s="126">
        <v>5</v>
      </c>
      <c r="F35" s="126">
        <v>0</v>
      </c>
      <c r="G35" s="126">
        <v>10</v>
      </c>
      <c r="H35" s="126">
        <v>0</v>
      </c>
      <c r="I35" s="126">
        <v>2.5</v>
      </c>
      <c r="J35" s="126">
        <v>10</v>
      </c>
      <c r="K35" s="126">
        <v>0</v>
      </c>
      <c r="L35" s="126">
        <v>10</v>
      </c>
      <c r="M35" s="126">
        <v>5</v>
      </c>
      <c r="N35" s="126">
        <v>1</v>
      </c>
      <c r="O35" s="126">
        <v>1</v>
      </c>
      <c r="P35" s="167"/>
      <c r="Q35" s="262"/>
    </row>
    <row r="36" spans="1:17" s="127" customFormat="1" x14ac:dyDescent="0.2">
      <c r="A36" s="126" t="s">
        <v>3821</v>
      </c>
      <c r="B36" s="126">
        <f>B35*B13</f>
        <v>758.19999999999993</v>
      </c>
      <c r="C36" s="126">
        <f t="shared" ref="C36:O36" si="6">C35*C13</f>
        <v>539.85</v>
      </c>
      <c r="D36" s="126">
        <f t="shared" si="6"/>
        <v>262.5</v>
      </c>
      <c r="E36" s="126">
        <f t="shared" si="6"/>
        <v>740</v>
      </c>
      <c r="F36" s="126">
        <f t="shared" si="6"/>
        <v>0</v>
      </c>
      <c r="G36" s="126">
        <f t="shared" si="6"/>
        <v>1505.2</v>
      </c>
      <c r="H36" s="126">
        <f t="shared" si="6"/>
        <v>0</v>
      </c>
      <c r="I36" s="126">
        <f t="shared" si="6"/>
        <v>236.75</v>
      </c>
      <c r="J36" s="126">
        <f t="shared" si="6"/>
        <v>344.79999999999995</v>
      </c>
      <c r="K36" s="126">
        <f t="shared" si="6"/>
        <v>0</v>
      </c>
      <c r="L36" s="126">
        <f t="shared" si="6"/>
        <v>1527.6</v>
      </c>
      <c r="M36" s="126">
        <f t="shared" si="6"/>
        <v>233.45</v>
      </c>
      <c r="N36" s="126">
        <f t="shared" si="6"/>
        <v>22.92</v>
      </c>
      <c r="O36" s="126">
        <f t="shared" si="6"/>
        <v>198.22</v>
      </c>
      <c r="P36" s="263">
        <f>SUM(B36:O36)*12</f>
        <v>76433.88</v>
      </c>
      <c r="Q36" s="262"/>
    </row>
    <row r="37" spans="1:17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</row>
    <row r="38" spans="1:17" s="23" customFormat="1" ht="15.75" x14ac:dyDescent="0.25">
      <c r="A38" s="122"/>
      <c r="C38" s="122"/>
      <c r="D38" s="122"/>
      <c r="E38" s="122"/>
      <c r="P38" s="130"/>
    </row>
    <row r="39" spans="1:17" s="23" customFormat="1" ht="15.75" x14ac:dyDescent="0.25">
      <c r="A39" s="792"/>
      <c r="B39" s="873"/>
      <c r="C39" s="873"/>
      <c r="D39" s="122"/>
      <c r="E39" s="122"/>
      <c r="P39" s="130"/>
    </row>
    <row r="40" spans="1:17" s="23" customFormat="1" ht="15.75" customHeight="1" x14ac:dyDescent="0.25">
      <c r="A40" s="788"/>
      <c r="B40" s="788"/>
      <c r="C40" s="788"/>
      <c r="D40" s="873"/>
      <c r="E40" s="873"/>
      <c r="P40" s="130"/>
    </row>
  </sheetData>
  <mergeCells count="6">
    <mergeCell ref="M1:P1"/>
    <mergeCell ref="M2:P2"/>
    <mergeCell ref="A6:P6"/>
    <mergeCell ref="A39:C39"/>
    <mergeCell ref="A40:E40"/>
    <mergeCell ref="P8:P10"/>
  </mergeCells>
  <pageMargins left="0.62992125984251968" right="0.15748031496062992" top="0.27559055118110237" bottom="0.19685039370078741" header="0.23622047244094491" footer="0.15748031496062992"/>
  <pageSetup paperSize="9" scale="90" orientation="landscape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selection activeCell="B16" sqref="B16"/>
    </sheetView>
  </sheetViews>
  <sheetFormatPr defaultRowHeight="12.75" x14ac:dyDescent="0.2"/>
  <cols>
    <col min="1" max="1" width="3.7109375" customWidth="1"/>
    <col min="2" max="2" width="28.85546875" customWidth="1"/>
    <col min="3" max="3" width="8.85546875" hidden="1" customWidth="1"/>
    <col min="4" max="4" width="14.42578125" hidden="1" customWidth="1"/>
    <col min="5" max="5" width="8.85546875" hidden="1" customWidth="1"/>
    <col min="6" max="6" width="23.140625" customWidth="1"/>
    <col min="7" max="9" width="8.85546875" hidden="1" customWidth="1"/>
    <col min="10" max="10" width="20.85546875" customWidth="1"/>
    <col min="11" max="11" width="14.85546875" customWidth="1"/>
    <col min="12" max="12" width="13.7109375" customWidth="1"/>
  </cols>
  <sheetData>
    <row r="1" spans="1:11" s="24" customFormat="1" ht="15" x14ac:dyDescent="0.2">
      <c r="F1" s="161" t="s">
        <v>79</v>
      </c>
      <c r="G1" s="141"/>
      <c r="H1" s="141"/>
      <c r="I1" s="141"/>
      <c r="J1" s="141"/>
    </row>
    <row r="2" spans="1:11" s="24" customFormat="1" ht="15" x14ac:dyDescent="0.2">
      <c r="F2" s="162"/>
      <c r="J2" s="163" t="s">
        <v>68</v>
      </c>
    </row>
    <row r="3" spans="1:11" s="24" customFormat="1" ht="15" x14ac:dyDescent="0.2"/>
    <row r="4" spans="1:11" s="24" customFormat="1" ht="15" x14ac:dyDescent="0.2"/>
    <row r="5" spans="1:11" s="24" customFormat="1" ht="15" x14ac:dyDescent="0.2"/>
    <row r="6" spans="1:11" ht="15.75" x14ac:dyDescent="0.25">
      <c r="A6" s="10"/>
      <c r="B6" s="10"/>
      <c r="C6" s="10"/>
      <c r="D6" s="10"/>
      <c r="E6" s="10"/>
      <c r="F6" s="10"/>
    </row>
    <row r="7" spans="1:11" ht="48" customHeight="1" x14ac:dyDescent="0.2">
      <c r="A7" s="11"/>
      <c r="B7" s="787" t="s">
        <v>72</v>
      </c>
      <c r="C7" s="787"/>
      <c r="D7" s="787"/>
      <c r="E7" s="787"/>
      <c r="F7" s="787"/>
      <c r="G7" s="787"/>
      <c r="H7" s="787"/>
      <c r="I7" s="787"/>
      <c r="J7" s="787"/>
      <c r="K7" s="25"/>
    </row>
    <row r="8" spans="1:11" x14ac:dyDescent="0.2">
      <c r="A8" s="12"/>
      <c r="B8" s="12"/>
      <c r="C8" s="12"/>
      <c r="D8" s="13" t="s">
        <v>37</v>
      </c>
      <c r="E8" s="12"/>
      <c r="F8" s="12"/>
    </row>
    <row r="9" spans="1:11" ht="13.15" customHeight="1" x14ac:dyDescent="0.2">
      <c r="A9" s="15" t="s">
        <v>38</v>
      </c>
      <c r="B9" s="15" t="s">
        <v>39</v>
      </c>
      <c r="C9" s="15" t="s">
        <v>40</v>
      </c>
      <c r="D9" s="15" t="s">
        <v>41</v>
      </c>
      <c r="E9" s="15" t="s">
        <v>42</v>
      </c>
      <c r="F9" s="876" t="s">
        <v>80</v>
      </c>
      <c r="G9" s="15" t="s">
        <v>40</v>
      </c>
      <c r="H9" s="15" t="s">
        <v>41</v>
      </c>
      <c r="I9" s="15" t="s">
        <v>42</v>
      </c>
      <c r="J9" s="876" t="s">
        <v>81</v>
      </c>
    </row>
    <row r="10" spans="1:11" x14ac:dyDescent="0.2">
      <c r="A10" s="16" t="s">
        <v>43</v>
      </c>
      <c r="B10" s="17"/>
      <c r="C10" s="16"/>
      <c r="D10" s="16" t="s">
        <v>66</v>
      </c>
      <c r="E10" s="16" t="s">
        <v>44</v>
      </c>
      <c r="F10" s="877"/>
      <c r="G10" s="16"/>
      <c r="H10" s="16" t="s">
        <v>66</v>
      </c>
      <c r="I10" s="16" t="s">
        <v>44</v>
      </c>
      <c r="J10" s="877"/>
    </row>
    <row r="11" spans="1:11" x14ac:dyDescent="0.2">
      <c r="A11" s="16"/>
      <c r="B11" s="17"/>
      <c r="C11" s="18" t="s">
        <v>45</v>
      </c>
      <c r="D11" s="18" t="s">
        <v>46</v>
      </c>
      <c r="E11" s="18" t="s">
        <v>42</v>
      </c>
      <c r="F11" s="878"/>
      <c r="G11" s="18" t="s">
        <v>45</v>
      </c>
      <c r="H11" s="18" t="s">
        <v>46</v>
      </c>
      <c r="I11" s="18" t="s">
        <v>42</v>
      </c>
      <c r="J11" s="878"/>
    </row>
    <row r="12" spans="1:11" ht="13.15" hidden="1" customHeight="1" x14ac:dyDescent="0.2">
      <c r="A12" s="18"/>
      <c r="B12" s="19"/>
    </row>
    <row r="13" spans="1:11" x14ac:dyDescent="0.2">
      <c r="A13" s="20"/>
      <c r="B13" s="14"/>
      <c r="C13" s="20"/>
      <c r="D13" s="20"/>
      <c r="E13" s="20"/>
      <c r="F13" s="20"/>
    </row>
    <row r="14" spans="1:11" x14ac:dyDescent="0.2">
      <c r="A14" s="20">
        <v>1</v>
      </c>
      <c r="B14" s="14" t="s">
        <v>47</v>
      </c>
      <c r="C14" s="20">
        <v>2</v>
      </c>
      <c r="D14" s="20">
        <v>1</v>
      </c>
      <c r="E14" s="20">
        <v>100</v>
      </c>
      <c r="F14" s="20">
        <f>C14*E14/100</f>
        <v>2</v>
      </c>
      <c r="G14" s="20">
        <v>2</v>
      </c>
      <c r="H14" s="20">
        <v>2</v>
      </c>
      <c r="I14" s="20">
        <v>50</v>
      </c>
      <c r="J14" s="20">
        <f t="shared" ref="J14:J29" si="0">G14*I14/100</f>
        <v>1</v>
      </c>
    </row>
    <row r="15" spans="1:11" x14ac:dyDescent="0.2">
      <c r="A15" s="20">
        <v>2</v>
      </c>
      <c r="B15" s="14" t="s">
        <v>48</v>
      </c>
      <c r="C15" s="20">
        <v>2</v>
      </c>
      <c r="D15" s="20">
        <v>2</v>
      </c>
      <c r="E15" s="20">
        <v>50</v>
      </c>
      <c r="F15" s="20">
        <f t="shared" ref="F15:F27" si="1">C15*E15/100</f>
        <v>1</v>
      </c>
      <c r="G15" s="20">
        <v>2</v>
      </c>
      <c r="H15" s="20">
        <v>2</v>
      </c>
      <c r="I15" s="20">
        <v>50</v>
      </c>
      <c r="J15" s="20">
        <f t="shared" si="0"/>
        <v>1</v>
      </c>
    </row>
    <row r="16" spans="1:11" x14ac:dyDescent="0.2">
      <c r="A16" s="20">
        <v>3</v>
      </c>
      <c r="B16" s="14" t="s">
        <v>49</v>
      </c>
      <c r="C16" s="20">
        <v>2</v>
      </c>
      <c r="D16" s="20">
        <v>2</v>
      </c>
      <c r="E16" s="20">
        <v>50</v>
      </c>
      <c r="F16" s="20">
        <f t="shared" si="1"/>
        <v>1</v>
      </c>
      <c r="G16" s="20">
        <v>2</v>
      </c>
      <c r="H16" s="20">
        <v>2</v>
      </c>
      <c r="I16" s="20">
        <v>50</v>
      </c>
      <c r="J16" s="20">
        <f t="shared" si="0"/>
        <v>1</v>
      </c>
    </row>
    <row r="17" spans="1:10" x14ac:dyDescent="0.2">
      <c r="A17" s="20">
        <v>4</v>
      </c>
      <c r="B17" s="14" t="s">
        <v>50</v>
      </c>
      <c r="C17" s="20">
        <v>1</v>
      </c>
      <c r="D17" s="20">
        <v>4</v>
      </c>
      <c r="E17" s="20">
        <v>25</v>
      </c>
      <c r="F17" s="20">
        <f t="shared" si="1"/>
        <v>0.25</v>
      </c>
      <c r="G17" s="20">
        <v>1</v>
      </c>
      <c r="H17" s="20">
        <v>4</v>
      </c>
      <c r="I17" s="20">
        <v>25</v>
      </c>
      <c r="J17" s="20">
        <f t="shared" si="0"/>
        <v>0.25</v>
      </c>
    </row>
    <row r="18" spans="1:10" x14ac:dyDescent="0.2">
      <c r="A18" s="20">
        <v>5</v>
      </c>
      <c r="B18" s="14" t="s">
        <v>51</v>
      </c>
      <c r="C18" s="20">
        <v>2</v>
      </c>
      <c r="D18" s="20">
        <v>3</v>
      </c>
      <c r="E18" s="20">
        <v>30</v>
      </c>
      <c r="F18" s="20">
        <f t="shared" si="1"/>
        <v>0.6</v>
      </c>
      <c r="G18" s="20">
        <v>2</v>
      </c>
      <c r="H18" s="20">
        <v>3</v>
      </c>
      <c r="I18" s="20">
        <v>30</v>
      </c>
      <c r="J18" s="20">
        <f t="shared" si="0"/>
        <v>0.6</v>
      </c>
    </row>
    <row r="19" spans="1:10" x14ac:dyDescent="0.2">
      <c r="A19" s="20">
        <v>6</v>
      </c>
      <c r="B19" s="14" t="s">
        <v>52</v>
      </c>
      <c r="C19" s="20">
        <v>2</v>
      </c>
      <c r="D19" s="20">
        <v>3</v>
      </c>
      <c r="E19" s="20">
        <v>30</v>
      </c>
      <c r="F19" s="20">
        <f t="shared" si="1"/>
        <v>0.6</v>
      </c>
      <c r="G19" s="20">
        <v>2</v>
      </c>
      <c r="H19" s="20">
        <v>3</v>
      </c>
      <c r="I19" s="20">
        <v>30</v>
      </c>
      <c r="J19" s="20">
        <f t="shared" si="0"/>
        <v>0.6</v>
      </c>
    </row>
    <row r="20" spans="1:10" x14ac:dyDescent="0.2">
      <c r="A20" s="20">
        <v>7</v>
      </c>
      <c r="B20" s="14" t="s">
        <v>53</v>
      </c>
      <c r="C20" s="20">
        <v>1</v>
      </c>
      <c r="D20" s="20">
        <v>10</v>
      </c>
      <c r="E20" s="20">
        <v>10</v>
      </c>
      <c r="F20" s="20">
        <f t="shared" si="1"/>
        <v>0.1</v>
      </c>
      <c r="G20" s="20">
        <v>1</v>
      </c>
      <c r="H20" s="20">
        <v>10</v>
      </c>
      <c r="I20" s="20">
        <v>10</v>
      </c>
      <c r="J20" s="20">
        <f t="shared" si="0"/>
        <v>0.1</v>
      </c>
    </row>
    <row r="21" spans="1:10" x14ac:dyDescent="0.2">
      <c r="A21" s="20">
        <v>8</v>
      </c>
      <c r="B21" s="14" t="s">
        <v>54</v>
      </c>
      <c r="C21" s="20">
        <v>1</v>
      </c>
      <c r="D21" s="20">
        <v>5</v>
      </c>
      <c r="E21" s="20">
        <v>20</v>
      </c>
      <c r="F21" s="20">
        <f t="shared" si="1"/>
        <v>0.2</v>
      </c>
      <c r="G21" s="20">
        <v>1</v>
      </c>
      <c r="H21" s="20">
        <v>5</v>
      </c>
      <c r="I21" s="20">
        <v>20</v>
      </c>
      <c r="J21" s="20">
        <f t="shared" si="0"/>
        <v>0.2</v>
      </c>
    </row>
    <row r="22" spans="1:10" x14ac:dyDescent="0.2">
      <c r="A22" s="20">
        <v>9</v>
      </c>
      <c r="B22" s="14" t="s">
        <v>55</v>
      </c>
      <c r="C22" s="20">
        <v>1</v>
      </c>
      <c r="D22" s="20">
        <v>5</v>
      </c>
      <c r="E22" s="20">
        <v>20</v>
      </c>
      <c r="F22" s="20">
        <f t="shared" si="1"/>
        <v>0.2</v>
      </c>
      <c r="G22" s="20">
        <v>1</v>
      </c>
      <c r="H22" s="20">
        <v>5</v>
      </c>
      <c r="I22" s="20">
        <v>20</v>
      </c>
      <c r="J22" s="20">
        <f t="shared" si="0"/>
        <v>0.2</v>
      </c>
    </row>
    <row r="23" spans="1:10" x14ac:dyDescent="0.2">
      <c r="A23" s="20">
        <v>10</v>
      </c>
      <c r="B23" s="14" t="s">
        <v>56</v>
      </c>
      <c r="C23" s="20">
        <v>1</v>
      </c>
      <c r="D23" s="20">
        <v>5</v>
      </c>
      <c r="E23" s="20">
        <v>20</v>
      </c>
      <c r="F23" s="20">
        <f t="shared" si="1"/>
        <v>0.2</v>
      </c>
      <c r="G23" s="20">
        <v>1</v>
      </c>
      <c r="H23" s="20">
        <v>5</v>
      </c>
      <c r="I23" s="20">
        <v>20</v>
      </c>
      <c r="J23" s="20">
        <f t="shared" si="0"/>
        <v>0.2</v>
      </c>
    </row>
    <row r="24" spans="1:10" x14ac:dyDescent="0.2">
      <c r="A24" s="20">
        <v>11</v>
      </c>
      <c r="B24" s="14" t="s">
        <v>57</v>
      </c>
      <c r="C24" s="20">
        <v>0.4</v>
      </c>
      <c r="D24" s="20">
        <v>3</v>
      </c>
      <c r="E24" s="20">
        <v>30</v>
      </c>
      <c r="F24" s="20">
        <f t="shared" si="1"/>
        <v>0.12</v>
      </c>
      <c r="G24" s="20">
        <v>0.25</v>
      </c>
      <c r="H24" s="20">
        <v>4</v>
      </c>
      <c r="I24" s="20">
        <v>25</v>
      </c>
      <c r="J24" s="20">
        <f t="shared" si="0"/>
        <v>6.25E-2</v>
      </c>
    </row>
    <row r="25" spans="1:10" x14ac:dyDescent="0.2">
      <c r="A25" s="20">
        <v>12</v>
      </c>
      <c r="B25" s="14" t="s">
        <v>58</v>
      </c>
      <c r="C25" s="20">
        <v>0.2</v>
      </c>
      <c r="D25" s="20">
        <v>1</v>
      </c>
      <c r="E25" s="20">
        <v>100</v>
      </c>
      <c r="F25" s="20">
        <f t="shared" si="1"/>
        <v>0.2</v>
      </c>
      <c r="G25" s="20">
        <v>0.2</v>
      </c>
      <c r="H25" s="20">
        <v>1</v>
      </c>
      <c r="I25" s="20">
        <v>100</v>
      </c>
      <c r="J25" s="20">
        <f t="shared" si="0"/>
        <v>0.2</v>
      </c>
    </row>
    <row r="26" spans="1:10" x14ac:dyDescent="0.2">
      <c r="A26" s="20">
        <v>13</v>
      </c>
      <c r="B26" s="14" t="s">
        <v>59</v>
      </c>
      <c r="C26" s="20">
        <v>0.3</v>
      </c>
      <c r="D26" s="20">
        <v>5</v>
      </c>
      <c r="E26" s="20">
        <v>20</v>
      </c>
      <c r="F26" s="20">
        <f t="shared" si="1"/>
        <v>0.06</v>
      </c>
      <c r="G26" s="20">
        <v>0.25</v>
      </c>
      <c r="H26" s="20">
        <v>5</v>
      </c>
      <c r="I26" s="20">
        <v>20</v>
      </c>
      <c r="J26" s="20">
        <f t="shared" si="0"/>
        <v>0.05</v>
      </c>
    </row>
    <row r="27" spans="1:10" x14ac:dyDescent="0.2">
      <c r="A27" s="20">
        <v>14</v>
      </c>
      <c r="B27" s="14" t="s">
        <v>60</v>
      </c>
      <c r="C27" s="20">
        <v>2.5</v>
      </c>
      <c r="D27" s="20">
        <v>3</v>
      </c>
      <c r="E27" s="20">
        <v>30</v>
      </c>
      <c r="F27" s="20">
        <f t="shared" si="1"/>
        <v>0.75</v>
      </c>
      <c r="G27" s="20">
        <v>4</v>
      </c>
      <c r="H27" s="20">
        <v>3</v>
      </c>
      <c r="I27" s="20">
        <v>30</v>
      </c>
      <c r="J27" s="20">
        <f t="shared" si="0"/>
        <v>1.2</v>
      </c>
    </row>
    <row r="28" spans="1:10" x14ac:dyDescent="0.2">
      <c r="A28" s="20">
        <v>15</v>
      </c>
      <c r="B28" s="14" t="s">
        <v>61</v>
      </c>
      <c r="C28" s="15"/>
      <c r="D28" s="20">
        <v>2</v>
      </c>
      <c r="E28" s="15"/>
      <c r="F28" s="20">
        <v>0</v>
      </c>
      <c r="G28" s="20">
        <v>3</v>
      </c>
      <c r="H28" s="20">
        <v>2</v>
      </c>
      <c r="I28" s="20">
        <v>50</v>
      </c>
      <c r="J28" s="20">
        <f t="shared" si="0"/>
        <v>1.5</v>
      </c>
    </row>
    <row r="29" spans="1:10" x14ac:dyDescent="0.2">
      <c r="A29" s="20">
        <v>16</v>
      </c>
      <c r="B29" s="14" t="s">
        <v>62</v>
      </c>
      <c r="C29" s="16"/>
      <c r="D29" s="20">
        <v>1</v>
      </c>
      <c r="E29" s="16"/>
      <c r="F29" s="20">
        <v>0</v>
      </c>
      <c r="G29" s="20">
        <v>1</v>
      </c>
      <c r="H29" s="20">
        <v>1</v>
      </c>
      <c r="I29" s="20">
        <v>100</v>
      </c>
      <c r="J29" s="20">
        <f t="shared" si="0"/>
        <v>1</v>
      </c>
    </row>
    <row r="30" spans="1:10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</row>
    <row r="31" spans="1:10" ht="15" customHeight="1" x14ac:dyDescent="0.2">
      <c r="B31" s="155" t="s">
        <v>3847</v>
      </c>
      <c r="C31" s="155"/>
    </row>
    <row r="32" spans="1:10" s="23" customFormat="1" ht="15" x14ac:dyDescent="0.2">
      <c r="A32" s="22"/>
      <c r="B32" s="154"/>
      <c r="C32" s="154"/>
      <c r="D32" s="154"/>
    </row>
  </sheetData>
  <mergeCells count="3">
    <mergeCell ref="B7:J7"/>
    <mergeCell ref="F9:F11"/>
    <mergeCell ref="J9:J11"/>
  </mergeCells>
  <phoneticPr fontId="6" type="noConversion"/>
  <pageMargins left="0.75" right="0.34" top="0.68" bottom="1" header="0.32" footer="0.5"/>
  <pageSetup paperSize="9" orientation="portrait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37"/>
  <sheetViews>
    <sheetView workbookViewId="0">
      <selection activeCell="L1" sqref="L1:O1"/>
    </sheetView>
  </sheetViews>
  <sheetFormatPr defaultRowHeight="12.75" x14ac:dyDescent="0.2"/>
  <cols>
    <col min="1" max="1" width="3.7109375" customWidth="1"/>
    <col min="2" max="2" width="29" customWidth="1"/>
    <col min="3" max="3" width="0" hidden="1" customWidth="1"/>
    <col min="4" max="4" width="14.42578125" hidden="1" customWidth="1"/>
    <col min="5" max="5" width="0" hidden="1" customWidth="1"/>
    <col min="6" max="6" width="14.42578125" customWidth="1"/>
    <col min="7" max="9" width="0" hidden="1" customWidth="1"/>
    <col min="10" max="10" width="20.85546875" customWidth="1"/>
    <col min="11" max="11" width="13.42578125" customWidth="1"/>
    <col min="12" max="12" width="11.28515625" customWidth="1"/>
    <col min="13" max="13" width="8.28515625" customWidth="1"/>
    <col min="14" max="14" width="13.7109375" customWidth="1"/>
    <col min="15" max="15" width="11" bestFit="1" customWidth="1"/>
    <col min="16" max="16" width="0" hidden="1" customWidth="1"/>
  </cols>
  <sheetData>
    <row r="1" spans="1:16" s="24" customFormat="1" ht="15" x14ac:dyDescent="0.2">
      <c r="F1" s="162"/>
      <c r="L1" s="801" t="s">
        <v>4728</v>
      </c>
      <c r="M1" s="801"/>
      <c r="N1" s="801"/>
      <c r="O1" s="801"/>
    </row>
    <row r="2" spans="1:16" s="24" customFormat="1" ht="15" x14ac:dyDescent="0.2">
      <c r="F2" s="162"/>
      <c r="J2" s="163"/>
      <c r="K2" s="252"/>
      <c r="L2" s="801" t="s">
        <v>4586</v>
      </c>
      <c r="M2" s="801"/>
      <c r="N2" s="801"/>
      <c r="O2" s="801"/>
    </row>
    <row r="3" spans="1:16" s="24" customFormat="1" ht="15" x14ac:dyDescent="0.2"/>
    <row r="4" spans="1:16" s="24" customFormat="1" ht="15" x14ac:dyDescent="0.2"/>
    <row r="5" spans="1:16" s="24" customFormat="1" ht="15" x14ac:dyDescent="0.2"/>
    <row r="6" spans="1:16" ht="15.75" x14ac:dyDescent="0.25">
      <c r="A6" s="10"/>
      <c r="B6" s="10"/>
      <c r="C6" s="10"/>
      <c r="D6" s="10"/>
      <c r="E6" s="10"/>
      <c r="F6" s="10"/>
    </row>
    <row r="7" spans="1:16" ht="48" customHeight="1" x14ac:dyDescent="0.2">
      <c r="A7" s="11"/>
      <c r="B7" s="785" t="s">
        <v>3831</v>
      </c>
      <c r="C7" s="785"/>
      <c r="D7" s="785"/>
      <c r="E7" s="785"/>
      <c r="F7" s="785"/>
      <c r="G7" s="785"/>
      <c r="H7" s="785"/>
      <c r="I7" s="785"/>
      <c r="J7" s="785"/>
      <c r="K7" s="785"/>
      <c r="L7" s="785"/>
      <c r="M7" s="785"/>
      <c r="N7" s="785"/>
      <c r="O7" s="785"/>
    </row>
    <row r="8" spans="1:16" x14ac:dyDescent="0.2">
      <c r="A8" s="12"/>
      <c r="B8" s="12"/>
      <c r="C8" s="12"/>
      <c r="D8" s="13" t="s">
        <v>37</v>
      </c>
      <c r="E8" s="12"/>
      <c r="F8" s="12"/>
    </row>
    <row r="9" spans="1:16" s="89" customFormat="1" ht="38.25" customHeight="1" x14ac:dyDescent="0.2">
      <c r="A9" s="881" t="s">
        <v>4047</v>
      </c>
      <c r="B9" s="879" t="s">
        <v>4164</v>
      </c>
      <c r="C9" s="60" t="s">
        <v>40</v>
      </c>
      <c r="D9" s="60" t="s">
        <v>41</v>
      </c>
      <c r="E9" s="60" t="s">
        <v>42</v>
      </c>
      <c r="F9" s="883" t="s">
        <v>4152</v>
      </c>
      <c r="G9" s="884"/>
      <c r="H9" s="884"/>
      <c r="I9" s="884"/>
      <c r="J9" s="885"/>
      <c r="K9" s="291" t="s">
        <v>4369</v>
      </c>
      <c r="L9" s="291" t="s">
        <v>4580</v>
      </c>
      <c r="M9" s="291" t="s">
        <v>4360</v>
      </c>
      <c r="N9" s="870" t="s">
        <v>3824</v>
      </c>
      <c r="O9" s="871"/>
    </row>
    <row r="10" spans="1:16" s="89" customFormat="1" ht="38.25" x14ac:dyDescent="0.2">
      <c r="A10" s="882"/>
      <c r="B10" s="880"/>
      <c r="C10" s="60"/>
      <c r="D10" s="60" t="s">
        <v>66</v>
      </c>
      <c r="E10" s="60" t="s">
        <v>44</v>
      </c>
      <c r="F10" s="303" t="s">
        <v>80</v>
      </c>
      <c r="G10" s="343"/>
      <c r="H10" s="343"/>
      <c r="I10" s="343"/>
      <c r="J10" s="303" t="s">
        <v>81</v>
      </c>
      <c r="K10" s="291"/>
      <c r="L10" s="291"/>
      <c r="M10" s="291"/>
      <c r="N10" s="303" t="s">
        <v>3822</v>
      </c>
      <c r="O10" s="303" t="s">
        <v>3823</v>
      </c>
    </row>
    <row r="11" spans="1:16" x14ac:dyDescent="0.2">
      <c r="A11" s="20">
        <v>1</v>
      </c>
      <c r="B11" s="159">
        <v>2</v>
      </c>
      <c r="C11" s="253">
        <v>2</v>
      </c>
      <c r="D11" s="253">
        <v>2</v>
      </c>
      <c r="E11" s="253">
        <v>2</v>
      </c>
      <c r="F11" s="253">
        <v>3</v>
      </c>
      <c r="G11" s="253">
        <v>2.8</v>
      </c>
      <c r="H11" s="253">
        <v>3</v>
      </c>
      <c r="I11" s="253">
        <v>3.2</v>
      </c>
      <c r="J11" s="253">
        <v>4</v>
      </c>
      <c r="K11" s="253">
        <v>5</v>
      </c>
      <c r="L11" s="253">
        <v>6</v>
      </c>
      <c r="M11" s="253">
        <v>7</v>
      </c>
      <c r="N11" s="253">
        <v>8</v>
      </c>
      <c r="O11" s="160">
        <v>9</v>
      </c>
    </row>
    <row r="12" spans="1:16" x14ac:dyDescent="0.2">
      <c r="A12" s="20">
        <v>1</v>
      </c>
      <c r="B12" s="158" t="s">
        <v>47</v>
      </c>
      <c r="C12" s="20">
        <v>2</v>
      </c>
      <c r="D12" s="20">
        <v>1</v>
      </c>
      <c r="E12" s="20">
        <v>100</v>
      </c>
      <c r="F12" s="20">
        <f>C12*E12/100</f>
        <v>2</v>
      </c>
      <c r="G12" s="20">
        <v>2</v>
      </c>
      <c r="H12" s="20">
        <v>2</v>
      </c>
      <c r="I12" s="20">
        <v>50</v>
      </c>
      <c r="J12" s="20">
        <f t="shared" ref="J12:J30" si="0">G12*I12/100</f>
        <v>1</v>
      </c>
      <c r="K12" s="399">
        <v>112</v>
      </c>
      <c r="L12" s="283">
        <v>1</v>
      </c>
      <c r="M12" s="254">
        <f t="shared" ref="M12:M29" si="1">K12*L12</f>
        <v>112</v>
      </c>
      <c r="N12" s="258">
        <f>F12*M12</f>
        <v>224</v>
      </c>
      <c r="O12" s="258">
        <f>J12*M12</f>
        <v>112</v>
      </c>
    </row>
    <row r="13" spans="1:16" x14ac:dyDescent="0.2">
      <c r="A13" s="20">
        <v>2</v>
      </c>
      <c r="B13" s="158" t="s">
        <v>48</v>
      </c>
      <c r="C13" s="20">
        <v>2</v>
      </c>
      <c r="D13" s="20">
        <v>2</v>
      </c>
      <c r="E13" s="20">
        <v>50</v>
      </c>
      <c r="F13" s="20">
        <f t="shared" ref="F13:F30" si="2">C13*E13/100</f>
        <v>1</v>
      </c>
      <c r="G13" s="20">
        <v>2</v>
      </c>
      <c r="H13" s="20">
        <v>2</v>
      </c>
      <c r="I13" s="20">
        <v>50</v>
      </c>
      <c r="J13" s="20">
        <f t="shared" si="0"/>
        <v>1</v>
      </c>
      <c r="K13" s="399">
        <v>102</v>
      </c>
      <c r="L13" s="283">
        <v>1</v>
      </c>
      <c r="M13" s="254">
        <f t="shared" si="1"/>
        <v>102</v>
      </c>
      <c r="N13" s="258">
        <f t="shared" ref="N13:N27" si="3">F13*M13</f>
        <v>102</v>
      </c>
      <c r="O13" s="258">
        <f t="shared" ref="O13:O27" si="4">J13*M13</f>
        <v>102</v>
      </c>
    </row>
    <row r="14" spans="1:16" x14ac:dyDescent="0.2">
      <c r="A14" s="20">
        <v>3</v>
      </c>
      <c r="B14" s="158" t="s">
        <v>49</v>
      </c>
      <c r="C14" s="20">
        <v>2</v>
      </c>
      <c r="D14" s="20">
        <v>2</v>
      </c>
      <c r="E14" s="20">
        <v>50</v>
      </c>
      <c r="F14" s="20">
        <f t="shared" si="2"/>
        <v>1</v>
      </c>
      <c r="G14" s="20">
        <v>2</v>
      </c>
      <c r="H14" s="20">
        <v>2</v>
      </c>
      <c r="I14" s="20">
        <v>50</v>
      </c>
      <c r="J14" s="20">
        <f t="shared" si="0"/>
        <v>1</v>
      </c>
      <c r="K14" s="399">
        <v>67</v>
      </c>
      <c r="L14" s="283">
        <v>1</v>
      </c>
      <c r="M14" s="254">
        <f t="shared" si="1"/>
        <v>67</v>
      </c>
      <c r="N14" s="258">
        <f t="shared" si="3"/>
        <v>67</v>
      </c>
      <c r="O14" s="258">
        <f t="shared" si="4"/>
        <v>67</v>
      </c>
    </row>
    <row r="15" spans="1:16" x14ac:dyDescent="0.2">
      <c r="A15" s="20">
        <v>4</v>
      </c>
      <c r="B15" s="158" t="s">
        <v>50</v>
      </c>
      <c r="C15" s="20">
        <v>1</v>
      </c>
      <c r="D15" s="20">
        <v>4</v>
      </c>
      <c r="E15" s="20">
        <v>25</v>
      </c>
      <c r="F15" s="20">
        <f t="shared" si="2"/>
        <v>0.25</v>
      </c>
      <c r="G15" s="20">
        <v>1</v>
      </c>
      <c r="H15" s="20">
        <v>4</v>
      </c>
      <c r="I15" s="20">
        <v>25</v>
      </c>
      <c r="J15" s="20">
        <f t="shared" si="0"/>
        <v>0.25</v>
      </c>
      <c r="K15" s="399">
        <v>131</v>
      </c>
      <c r="L15" s="283">
        <v>1</v>
      </c>
      <c r="M15" s="254">
        <f t="shared" si="1"/>
        <v>131</v>
      </c>
      <c r="N15" s="258">
        <f t="shared" si="3"/>
        <v>32.75</v>
      </c>
      <c r="O15" s="258">
        <f t="shared" si="4"/>
        <v>32.75</v>
      </c>
      <c r="P15" t="s">
        <v>3911</v>
      </c>
    </row>
    <row r="16" spans="1:16" x14ac:dyDescent="0.2">
      <c r="A16" s="20">
        <v>5</v>
      </c>
      <c r="B16" s="158" t="s">
        <v>51</v>
      </c>
      <c r="C16" s="20">
        <v>2</v>
      </c>
      <c r="D16" s="20">
        <v>3</v>
      </c>
      <c r="E16" s="20">
        <v>30</v>
      </c>
      <c r="F16" s="20">
        <f t="shared" si="2"/>
        <v>0.6</v>
      </c>
      <c r="G16" s="20">
        <v>2</v>
      </c>
      <c r="H16" s="20">
        <v>3</v>
      </c>
      <c r="I16" s="20">
        <v>30</v>
      </c>
      <c r="J16" s="20">
        <f t="shared" si="0"/>
        <v>0.6</v>
      </c>
      <c r="K16" s="399">
        <v>112</v>
      </c>
      <c r="L16" s="283">
        <v>1</v>
      </c>
      <c r="M16" s="254">
        <f t="shared" si="1"/>
        <v>112</v>
      </c>
      <c r="N16" s="258">
        <f t="shared" si="3"/>
        <v>67.2</v>
      </c>
      <c r="O16" s="258">
        <f t="shared" si="4"/>
        <v>67.2</v>
      </c>
    </row>
    <row r="17" spans="1:16" x14ac:dyDescent="0.2">
      <c r="A17" s="20">
        <v>6</v>
      </c>
      <c r="B17" s="158" t="s">
        <v>52</v>
      </c>
      <c r="C17" s="20">
        <v>2</v>
      </c>
      <c r="D17" s="20">
        <v>3</v>
      </c>
      <c r="E17" s="20">
        <v>30</v>
      </c>
      <c r="F17" s="20">
        <f t="shared" si="2"/>
        <v>0.6</v>
      </c>
      <c r="G17" s="20">
        <v>2</v>
      </c>
      <c r="H17" s="20">
        <v>3</v>
      </c>
      <c r="I17" s="20">
        <v>30</v>
      </c>
      <c r="J17" s="20">
        <f t="shared" si="0"/>
        <v>0.6</v>
      </c>
      <c r="K17" s="399">
        <v>205</v>
      </c>
      <c r="L17" s="283">
        <v>1</v>
      </c>
      <c r="M17" s="254">
        <f t="shared" si="1"/>
        <v>205</v>
      </c>
      <c r="N17" s="258">
        <f t="shared" si="3"/>
        <v>123</v>
      </c>
      <c r="O17" s="258">
        <f t="shared" si="4"/>
        <v>123</v>
      </c>
    </row>
    <row r="18" spans="1:16" x14ac:dyDescent="0.2">
      <c r="A18" s="20">
        <v>7</v>
      </c>
      <c r="B18" s="158" t="s">
        <v>53</v>
      </c>
      <c r="C18" s="20">
        <v>1</v>
      </c>
      <c r="D18" s="20">
        <v>10</v>
      </c>
      <c r="E18" s="20">
        <v>10</v>
      </c>
      <c r="F18" s="20">
        <f t="shared" si="2"/>
        <v>0.1</v>
      </c>
      <c r="G18" s="20">
        <v>1</v>
      </c>
      <c r="H18" s="20">
        <v>10</v>
      </c>
      <c r="I18" s="20">
        <v>10</v>
      </c>
      <c r="J18" s="20">
        <f t="shared" si="0"/>
        <v>0.1</v>
      </c>
      <c r="K18" s="399">
        <v>360</v>
      </c>
      <c r="L18" s="283">
        <v>1</v>
      </c>
      <c r="M18" s="254">
        <f t="shared" si="1"/>
        <v>360</v>
      </c>
      <c r="N18" s="258">
        <f t="shared" si="3"/>
        <v>36</v>
      </c>
      <c r="O18" s="258">
        <f t="shared" si="4"/>
        <v>36</v>
      </c>
      <c r="P18" t="s">
        <v>3911</v>
      </c>
    </row>
    <row r="19" spans="1:16" x14ac:dyDescent="0.2">
      <c r="A19" s="20">
        <v>8</v>
      </c>
      <c r="B19" s="158" t="s">
        <v>54</v>
      </c>
      <c r="C19" s="20">
        <v>1</v>
      </c>
      <c r="D19" s="20">
        <v>5</v>
      </c>
      <c r="E19" s="20">
        <v>20</v>
      </c>
      <c r="F19" s="20">
        <f t="shared" si="2"/>
        <v>0.2</v>
      </c>
      <c r="G19" s="20">
        <v>1</v>
      </c>
      <c r="H19" s="20">
        <v>5</v>
      </c>
      <c r="I19" s="20">
        <v>20</v>
      </c>
      <c r="J19" s="20">
        <f t="shared" si="0"/>
        <v>0.2</v>
      </c>
      <c r="K19" s="399">
        <v>385</v>
      </c>
      <c r="L19" s="283">
        <v>1</v>
      </c>
      <c r="M19" s="254">
        <f t="shared" si="1"/>
        <v>385</v>
      </c>
      <c r="N19" s="258">
        <f t="shared" si="3"/>
        <v>77</v>
      </c>
      <c r="O19" s="258">
        <f t="shared" si="4"/>
        <v>77</v>
      </c>
    </row>
    <row r="20" spans="1:16" x14ac:dyDescent="0.2">
      <c r="A20" s="20">
        <v>9</v>
      </c>
      <c r="B20" s="158" t="s">
        <v>55</v>
      </c>
      <c r="C20" s="20">
        <v>1</v>
      </c>
      <c r="D20" s="20">
        <v>5</v>
      </c>
      <c r="E20" s="20">
        <v>20</v>
      </c>
      <c r="F20" s="20">
        <f t="shared" si="2"/>
        <v>0.2</v>
      </c>
      <c r="G20" s="20">
        <v>1</v>
      </c>
      <c r="H20" s="20">
        <v>5</v>
      </c>
      <c r="I20" s="20">
        <v>20</v>
      </c>
      <c r="J20" s="20">
        <f t="shared" si="0"/>
        <v>0.2</v>
      </c>
      <c r="K20" s="399">
        <v>1784</v>
      </c>
      <c r="L20" s="283">
        <v>1</v>
      </c>
      <c r="M20" s="254">
        <f t="shared" si="1"/>
        <v>1784</v>
      </c>
      <c r="N20" s="258">
        <f t="shared" si="3"/>
        <v>356.8</v>
      </c>
      <c r="O20" s="258">
        <f t="shared" si="4"/>
        <v>356.8</v>
      </c>
    </row>
    <row r="21" spans="1:16" x14ac:dyDescent="0.2">
      <c r="A21" s="20">
        <v>10</v>
      </c>
      <c r="B21" s="158" t="s">
        <v>56</v>
      </c>
      <c r="C21" s="20">
        <v>1</v>
      </c>
      <c r="D21" s="20">
        <v>5</v>
      </c>
      <c r="E21" s="20">
        <v>20</v>
      </c>
      <c r="F21" s="20">
        <f t="shared" si="2"/>
        <v>0.2</v>
      </c>
      <c r="G21" s="20">
        <v>1</v>
      </c>
      <c r="H21" s="20">
        <v>5</v>
      </c>
      <c r="I21" s="20">
        <v>20</v>
      </c>
      <c r="J21" s="20">
        <f t="shared" si="0"/>
        <v>0.2</v>
      </c>
      <c r="K21" s="399">
        <v>879</v>
      </c>
      <c r="L21" s="283">
        <v>1</v>
      </c>
      <c r="M21" s="254">
        <f t="shared" si="1"/>
        <v>879</v>
      </c>
      <c r="N21" s="258">
        <f t="shared" si="3"/>
        <v>175.8</v>
      </c>
      <c r="O21" s="258">
        <f t="shared" si="4"/>
        <v>175.8</v>
      </c>
      <c r="P21" t="s">
        <v>3911</v>
      </c>
    </row>
    <row r="22" spans="1:16" x14ac:dyDescent="0.2">
      <c r="A22" s="20">
        <v>11</v>
      </c>
      <c r="B22" s="158" t="s">
        <v>57</v>
      </c>
      <c r="C22" s="20">
        <v>0.4</v>
      </c>
      <c r="D22" s="20">
        <v>3</v>
      </c>
      <c r="E22" s="20">
        <v>30</v>
      </c>
      <c r="F22" s="20">
        <f t="shared" si="2"/>
        <v>0.12</v>
      </c>
      <c r="G22" s="20">
        <v>0.25</v>
      </c>
      <c r="H22" s="20">
        <v>4</v>
      </c>
      <c r="I22" s="20">
        <v>25</v>
      </c>
      <c r="J22" s="20">
        <f t="shared" si="0"/>
        <v>6.25E-2</v>
      </c>
      <c r="K22" s="399">
        <v>1470</v>
      </c>
      <c r="L22" s="283">
        <v>1</v>
      </c>
      <c r="M22" s="254">
        <f t="shared" si="1"/>
        <v>1470</v>
      </c>
      <c r="N22" s="258">
        <f t="shared" si="3"/>
        <v>176.4</v>
      </c>
      <c r="O22" s="258">
        <f t="shared" si="4"/>
        <v>91.875</v>
      </c>
    </row>
    <row r="23" spans="1:16" x14ac:dyDescent="0.2">
      <c r="A23" s="20">
        <v>12</v>
      </c>
      <c r="B23" s="158" t="s">
        <v>58</v>
      </c>
      <c r="C23" s="20">
        <v>0.2</v>
      </c>
      <c r="D23" s="20">
        <v>1</v>
      </c>
      <c r="E23" s="20">
        <v>100</v>
      </c>
      <c r="F23" s="20">
        <f t="shared" si="2"/>
        <v>0.2</v>
      </c>
      <c r="G23" s="20">
        <v>0.2</v>
      </c>
      <c r="H23" s="20">
        <v>1</v>
      </c>
      <c r="I23" s="20">
        <v>100</v>
      </c>
      <c r="J23" s="20">
        <f t="shared" si="0"/>
        <v>0.2</v>
      </c>
      <c r="K23" s="399">
        <v>115</v>
      </c>
      <c r="L23" s="283">
        <v>1</v>
      </c>
      <c r="M23" s="254">
        <f t="shared" si="1"/>
        <v>115</v>
      </c>
      <c r="N23" s="258">
        <f t="shared" si="3"/>
        <v>23</v>
      </c>
      <c r="O23" s="258">
        <f t="shared" si="4"/>
        <v>23</v>
      </c>
    </row>
    <row r="24" spans="1:16" x14ac:dyDescent="0.2">
      <c r="A24" s="20">
        <v>13</v>
      </c>
      <c r="B24" s="158" t="s">
        <v>59</v>
      </c>
      <c r="C24" s="20">
        <v>0.3</v>
      </c>
      <c r="D24" s="20">
        <v>5</v>
      </c>
      <c r="E24" s="20">
        <v>20</v>
      </c>
      <c r="F24" s="20">
        <f t="shared" si="2"/>
        <v>0.06</v>
      </c>
      <c r="G24" s="20">
        <v>0.25</v>
      </c>
      <c r="H24" s="20">
        <v>5</v>
      </c>
      <c r="I24" s="20">
        <v>20</v>
      </c>
      <c r="J24" s="20">
        <f t="shared" si="0"/>
        <v>0.05</v>
      </c>
      <c r="K24" s="399">
        <v>749</v>
      </c>
      <c r="L24" s="283">
        <v>1</v>
      </c>
      <c r="M24" s="254">
        <f t="shared" si="1"/>
        <v>749</v>
      </c>
      <c r="N24" s="258">
        <f t="shared" si="3"/>
        <v>44.94</v>
      </c>
      <c r="O24" s="258">
        <f t="shared" si="4"/>
        <v>37.450000000000003</v>
      </c>
      <c r="P24" t="s">
        <v>3911</v>
      </c>
    </row>
    <row r="25" spans="1:16" x14ac:dyDescent="0.2">
      <c r="A25" s="20">
        <v>14</v>
      </c>
      <c r="B25" s="158" t="s">
        <v>60</v>
      </c>
      <c r="C25" s="20">
        <v>2.5</v>
      </c>
      <c r="D25" s="20">
        <v>3</v>
      </c>
      <c r="E25" s="20">
        <v>30</v>
      </c>
      <c r="F25" s="20">
        <f>C25*E25/100</f>
        <v>0.75</v>
      </c>
      <c r="G25" s="20">
        <v>4</v>
      </c>
      <c r="H25" s="20">
        <v>3</v>
      </c>
      <c r="I25" s="20">
        <v>30</v>
      </c>
      <c r="J25" s="20">
        <f t="shared" si="0"/>
        <v>1.2</v>
      </c>
      <c r="K25" s="399">
        <v>1050</v>
      </c>
      <c r="L25" s="283">
        <v>1</v>
      </c>
      <c r="M25" s="254">
        <f t="shared" si="1"/>
        <v>1050</v>
      </c>
      <c r="N25" s="258">
        <f t="shared" si="3"/>
        <v>787.5</v>
      </c>
      <c r="O25" s="258">
        <f t="shared" si="4"/>
        <v>1260</v>
      </c>
    </row>
    <row r="26" spans="1:16" x14ac:dyDescent="0.2">
      <c r="A26" s="20">
        <v>15</v>
      </c>
      <c r="B26" s="158" t="s">
        <v>61</v>
      </c>
      <c r="C26" s="20"/>
      <c r="D26" s="20">
        <v>2</v>
      </c>
      <c r="E26" s="20"/>
      <c r="F26" s="20">
        <f t="shared" si="2"/>
        <v>0</v>
      </c>
      <c r="G26" s="20">
        <v>3</v>
      </c>
      <c r="H26" s="20">
        <v>2</v>
      </c>
      <c r="I26" s="20">
        <v>50</v>
      </c>
      <c r="J26" s="20">
        <f t="shared" si="0"/>
        <v>1.5</v>
      </c>
      <c r="K26" s="399">
        <v>116</v>
      </c>
      <c r="L26" s="283">
        <v>1</v>
      </c>
      <c r="M26" s="254">
        <f t="shared" si="1"/>
        <v>116</v>
      </c>
      <c r="N26" s="258">
        <f t="shared" si="3"/>
        <v>0</v>
      </c>
      <c r="O26" s="258">
        <f t="shared" si="4"/>
        <v>174</v>
      </c>
    </row>
    <row r="27" spans="1:16" x14ac:dyDescent="0.2">
      <c r="A27" s="20">
        <v>16</v>
      </c>
      <c r="B27" s="158" t="s">
        <v>62</v>
      </c>
      <c r="C27" s="20"/>
      <c r="D27" s="20">
        <v>1</v>
      </c>
      <c r="E27" s="20"/>
      <c r="F27" s="20">
        <f t="shared" si="2"/>
        <v>0</v>
      </c>
      <c r="G27" s="20">
        <v>1</v>
      </c>
      <c r="H27" s="20">
        <v>1</v>
      </c>
      <c r="I27" s="20">
        <v>100</v>
      </c>
      <c r="J27" s="20">
        <f t="shared" si="0"/>
        <v>1</v>
      </c>
      <c r="K27" s="399">
        <v>95</v>
      </c>
      <c r="L27" s="283">
        <v>1</v>
      </c>
      <c r="M27" s="254">
        <f t="shared" si="1"/>
        <v>95</v>
      </c>
      <c r="N27" s="258">
        <f t="shared" si="3"/>
        <v>0</v>
      </c>
      <c r="O27" s="258">
        <f t="shared" si="4"/>
        <v>95</v>
      </c>
      <c r="P27" t="s">
        <v>3911</v>
      </c>
    </row>
    <row r="28" spans="1:16" hidden="1" x14ac:dyDescent="0.2">
      <c r="A28" s="484">
        <v>17</v>
      </c>
      <c r="B28" s="485" t="s">
        <v>4354</v>
      </c>
      <c r="C28" s="484"/>
      <c r="D28" s="484"/>
      <c r="E28" s="484"/>
      <c r="F28" s="20">
        <f>C28*E28/100</f>
        <v>0</v>
      </c>
      <c r="G28" s="484"/>
      <c r="H28" s="484"/>
      <c r="I28" s="484"/>
      <c r="J28" s="20">
        <f t="shared" si="0"/>
        <v>0</v>
      </c>
      <c r="K28" s="469">
        <v>3700</v>
      </c>
      <c r="L28" s="486">
        <v>1</v>
      </c>
      <c r="M28" s="469">
        <v>3700</v>
      </c>
      <c r="N28" s="487">
        <f>F28*M28</f>
        <v>0</v>
      </c>
      <c r="O28" s="487">
        <f>J28*M28</f>
        <v>0</v>
      </c>
    </row>
    <row r="29" spans="1:16" hidden="1" x14ac:dyDescent="0.2">
      <c r="A29" s="484">
        <v>18</v>
      </c>
      <c r="B29" s="485" t="s">
        <v>4355</v>
      </c>
      <c r="C29" s="484"/>
      <c r="D29" s="484"/>
      <c r="E29" s="484"/>
      <c r="F29" s="20">
        <f t="shared" si="2"/>
        <v>0</v>
      </c>
      <c r="G29" s="484"/>
      <c r="H29" s="484"/>
      <c r="I29" s="484"/>
      <c r="J29" s="20">
        <f t="shared" si="0"/>
        <v>0</v>
      </c>
      <c r="K29" s="469">
        <v>1041.67</v>
      </c>
      <c r="L29" s="486">
        <v>1</v>
      </c>
      <c r="M29" s="469">
        <f t="shared" si="1"/>
        <v>1041.67</v>
      </c>
      <c r="N29" s="487">
        <f>F29*M29</f>
        <v>0</v>
      </c>
      <c r="O29" s="487">
        <f>J29*M29</f>
        <v>0</v>
      </c>
    </row>
    <row r="30" spans="1:16" hidden="1" x14ac:dyDescent="0.2">
      <c r="A30" s="484">
        <v>19</v>
      </c>
      <c r="B30" s="485" t="s">
        <v>4353</v>
      </c>
      <c r="C30" s="484"/>
      <c r="D30" s="484"/>
      <c r="E30" s="484"/>
      <c r="F30" s="20">
        <f t="shared" si="2"/>
        <v>0</v>
      </c>
      <c r="G30" s="484"/>
      <c r="H30" s="484"/>
      <c r="I30" s="484"/>
      <c r="J30" s="20">
        <f t="shared" si="0"/>
        <v>0</v>
      </c>
      <c r="K30" s="469">
        <v>80</v>
      </c>
      <c r="L30" s="486">
        <v>1</v>
      </c>
      <c r="M30" s="469">
        <v>80</v>
      </c>
      <c r="N30" s="487">
        <f>F30*M30</f>
        <v>0</v>
      </c>
      <c r="O30" s="487">
        <f>J30*M30</f>
        <v>0</v>
      </c>
    </row>
    <row r="31" spans="1:16" x14ac:dyDescent="0.2">
      <c r="A31" s="20"/>
      <c r="B31" s="160" t="s">
        <v>3825</v>
      </c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186"/>
      <c r="N31" s="259">
        <f>SUM(N12:N29)</f>
        <v>2293.3900000000003</v>
      </c>
      <c r="O31" s="259">
        <f>SUM(O12:O29)</f>
        <v>2830.875</v>
      </c>
    </row>
    <row r="33" spans="1:4" s="23" customFormat="1" ht="15" x14ac:dyDescent="0.2">
      <c r="A33" s="156"/>
      <c r="B33" s="157"/>
      <c r="C33" s="154"/>
      <c r="D33" s="154"/>
    </row>
    <row r="34" spans="1:4" s="23" customFormat="1" ht="15" customHeight="1" x14ac:dyDescent="0.2">
      <c r="A34" s="154"/>
      <c r="B34" s="154"/>
      <c r="C34" s="154"/>
      <c r="D34" s="154"/>
    </row>
    <row r="35" spans="1:4" s="23" customFormat="1" ht="15" x14ac:dyDescent="0.2">
      <c r="A35" s="154"/>
      <c r="B35" s="154"/>
      <c r="C35" s="154"/>
      <c r="D35" s="154"/>
    </row>
    <row r="36" spans="1:4" s="23" customFormat="1" ht="15" x14ac:dyDescent="0.2">
      <c r="A36" s="154"/>
      <c r="B36" s="154"/>
      <c r="C36" s="154"/>
      <c r="D36" s="154"/>
    </row>
    <row r="37" spans="1:4" s="23" customFormat="1" ht="15" x14ac:dyDescent="0.2">
      <c r="A37" s="154"/>
      <c r="B37" s="154"/>
      <c r="C37" s="154"/>
      <c r="D37" s="154"/>
    </row>
  </sheetData>
  <mergeCells count="7">
    <mergeCell ref="L1:O1"/>
    <mergeCell ref="L2:O2"/>
    <mergeCell ref="B9:B10"/>
    <mergeCell ref="A9:A10"/>
    <mergeCell ref="F9:J9"/>
    <mergeCell ref="B7:O7"/>
    <mergeCell ref="N9:O9"/>
  </mergeCells>
  <pageMargins left="0.75" right="0.34" top="0.68" bottom="1" header="0.32" footer="0.5"/>
  <pageSetup paperSize="9" scale="9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topLeftCell="A15" workbookViewId="0">
      <selection activeCell="A213" sqref="A213:XFD217"/>
    </sheetView>
  </sheetViews>
  <sheetFormatPr defaultColWidth="9.140625" defaultRowHeight="18" customHeight="1" x14ac:dyDescent="0.2"/>
  <cols>
    <col min="1" max="1" width="36.28515625" style="638" customWidth="1"/>
    <col min="2" max="2" width="12.28515625" style="638" customWidth="1"/>
    <col min="3" max="3" width="14.7109375" style="643" customWidth="1"/>
    <col min="4" max="4" width="10" style="638" customWidth="1"/>
    <col min="5" max="5" width="13.85546875" style="638" customWidth="1"/>
    <col min="6" max="6" width="15.85546875" style="638" customWidth="1"/>
    <col min="7" max="7" width="18" style="638" customWidth="1"/>
    <col min="8" max="8" width="14.140625" style="638" customWidth="1"/>
    <col min="9" max="9" width="13" style="638" customWidth="1"/>
    <col min="10" max="10" width="14.85546875" style="638" customWidth="1"/>
    <col min="11" max="11" width="11.140625" style="638" customWidth="1"/>
    <col min="12" max="12" width="16.5703125" style="638" customWidth="1"/>
    <col min="13" max="13" width="14.7109375" style="638" customWidth="1"/>
    <col min="14" max="14" width="7.42578125" style="639" hidden="1" customWidth="1"/>
    <col min="15" max="15" width="6.5703125" style="638" customWidth="1"/>
    <col min="16" max="25" width="3.85546875" style="638" customWidth="1"/>
    <col min="26" max="26" width="4.42578125" style="638" customWidth="1"/>
    <col min="27" max="30" width="3.85546875" style="638" customWidth="1"/>
    <col min="31" max="31" width="5.140625" style="638" customWidth="1"/>
    <col min="32" max="41" width="3.85546875" style="638" customWidth="1"/>
    <col min="42" max="42" width="8.85546875" style="638" customWidth="1"/>
    <col min="43" max="43" width="9.42578125" style="638" customWidth="1"/>
    <col min="44" max="45" width="9.140625" style="638" hidden="1" customWidth="1"/>
    <col min="46" max="46" width="11.5703125" style="638" hidden="1" customWidth="1"/>
    <col min="47" max="47" width="16" style="638" hidden="1" customWidth="1"/>
    <col min="48" max="48" width="21.5703125" style="638" hidden="1" customWidth="1"/>
    <col min="49" max="77" width="4.5703125" style="638" customWidth="1"/>
    <col min="78" max="78" width="6.140625" style="638" customWidth="1"/>
    <col min="79" max="79" width="10.42578125" style="638" bestFit="1" customWidth="1"/>
    <col min="80" max="80" width="9.5703125" style="638" bestFit="1" customWidth="1"/>
    <col min="81" max="16384" width="9.140625" style="638"/>
  </cols>
  <sheetData>
    <row r="1" spans="1:13" ht="18" hidden="1" customHeight="1" x14ac:dyDescent="0.2">
      <c r="D1" s="644" t="s">
        <v>4414</v>
      </c>
      <c r="E1" s="645"/>
      <c r="F1" s="646" t="s">
        <v>4415</v>
      </c>
      <c r="G1" s="645"/>
      <c r="H1" s="645"/>
      <c r="I1" s="645"/>
    </row>
    <row r="2" spans="1:13" ht="18" hidden="1" customHeight="1" x14ac:dyDescent="0.2">
      <c r="A2" s="647" t="s">
        <v>4416</v>
      </c>
      <c r="D2" s="811" t="s">
        <v>4255</v>
      </c>
      <c r="E2" s="811"/>
      <c r="F2" s="648" t="s">
        <v>4050</v>
      </c>
      <c r="G2" s="644"/>
      <c r="H2" s="644"/>
      <c r="I2" s="644"/>
    </row>
    <row r="3" spans="1:13" ht="18" hidden="1" customHeight="1" x14ac:dyDescent="0.2">
      <c r="A3" s="649" t="s">
        <v>4417</v>
      </c>
      <c r="D3" s="811"/>
      <c r="E3" s="811"/>
      <c r="F3" s="648" t="s">
        <v>4256</v>
      </c>
      <c r="G3" s="648" t="s">
        <v>4257</v>
      </c>
      <c r="H3" s="648" t="s">
        <v>4258</v>
      </c>
      <c r="I3" s="648" t="s">
        <v>4259</v>
      </c>
    </row>
    <row r="4" spans="1:13" ht="18" hidden="1" customHeight="1" x14ac:dyDescent="0.2">
      <c r="A4" s="650"/>
      <c r="D4" s="812" t="s">
        <v>4260</v>
      </c>
      <c r="E4" s="812"/>
      <c r="F4" s="644">
        <v>10</v>
      </c>
      <c r="G4" s="644">
        <v>162</v>
      </c>
      <c r="H4" s="644">
        <v>40</v>
      </c>
      <c r="I4" s="644">
        <v>648</v>
      </c>
      <c r="J4" s="638">
        <f>I4*16</f>
        <v>10368</v>
      </c>
      <c r="K4" s="638">
        <v>824</v>
      </c>
      <c r="L4" s="638">
        <f>K4*20</f>
        <v>16480</v>
      </c>
      <c r="M4" s="638">
        <f>J4+L4</f>
        <v>26848</v>
      </c>
    </row>
    <row r="5" spans="1:13" ht="18" hidden="1" customHeight="1" x14ac:dyDescent="0.2">
      <c r="A5" s="651" t="s">
        <v>4418</v>
      </c>
      <c r="D5" s="813" t="s">
        <v>4261</v>
      </c>
      <c r="E5" s="814"/>
      <c r="F5" s="644">
        <v>28</v>
      </c>
      <c r="G5" s="644">
        <v>482</v>
      </c>
      <c r="H5" s="644">
        <v>112</v>
      </c>
      <c r="I5" s="644">
        <v>1928</v>
      </c>
      <c r="J5" s="638">
        <f>I5*16</f>
        <v>30848</v>
      </c>
      <c r="K5" s="638">
        <v>2812</v>
      </c>
      <c r="L5" s="638">
        <f>K5*20</f>
        <v>56240</v>
      </c>
      <c r="M5" s="638">
        <f>J5+L5</f>
        <v>87088</v>
      </c>
    </row>
    <row r="6" spans="1:13" ht="18" hidden="1" customHeight="1" x14ac:dyDescent="0.2">
      <c r="A6" s="651"/>
      <c r="D6" s="652" t="s">
        <v>4262</v>
      </c>
      <c r="E6" s="653"/>
      <c r="F6" s="654"/>
      <c r="G6" s="654"/>
      <c r="H6" s="654"/>
      <c r="I6" s="654"/>
    </row>
    <row r="7" spans="1:13" ht="18" hidden="1" customHeight="1" x14ac:dyDescent="0.2">
      <c r="A7" s="651"/>
      <c r="D7" s="652" t="s">
        <v>4263</v>
      </c>
      <c r="E7" s="653"/>
      <c r="F7" s="654"/>
      <c r="G7" s="654"/>
      <c r="H7" s="654"/>
      <c r="I7" s="654"/>
    </row>
    <row r="8" spans="1:13" ht="18" hidden="1" customHeight="1" x14ac:dyDescent="0.2">
      <c r="A8" s="651"/>
      <c r="D8" s="812" t="s">
        <v>4264</v>
      </c>
      <c r="E8" s="812"/>
      <c r="F8" s="654">
        <v>45</v>
      </c>
      <c r="G8" s="654">
        <v>655</v>
      </c>
      <c r="H8" s="654">
        <v>529.5</v>
      </c>
      <c r="I8" s="654">
        <v>7675</v>
      </c>
      <c r="J8" s="638">
        <f>G8*4</f>
        <v>2620</v>
      </c>
      <c r="K8" s="638">
        <f>665*8</f>
        <v>5320</v>
      </c>
      <c r="L8" s="638">
        <f>(J8+K8)/12</f>
        <v>661.66666666666663</v>
      </c>
    </row>
    <row r="9" spans="1:13" ht="18" hidden="1" customHeight="1" x14ac:dyDescent="0.2">
      <c r="A9" s="651" t="s">
        <v>4611</v>
      </c>
      <c r="D9" s="815" t="s">
        <v>4265</v>
      </c>
      <c r="E9" s="815"/>
      <c r="F9" s="645">
        <f>F5+F4+F8</f>
        <v>83</v>
      </c>
      <c r="G9" s="645">
        <f>G5+G4+G8</f>
        <v>1299</v>
      </c>
      <c r="H9" s="645">
        <f>H5+H4+H8</f>
        <v>681.5</v>
      </c>
      <c r="I9" s="645">
        <f>I5+I4+I8</f>
        <v>10251</v>
      </c>
    </row>
    <row r="10" spans="1:13" ht="18" hidden="1" customHeight="1" x14ac:dyDescent="0.2">
      <c r="B10" s="655"/>
      <c r="C10" s="656"/>
      <c r="D10" s="657"/>
    </row>
    <row r="11" spans="1:13" ht="18" hidden="1" customHeight="1" x14ac:dyDescent="0.2">
      <c r="B11" s="655"/>
      <c r="C11" s="656"/>
      <c r="E11" s="638" t="s">
        <v>4419</v>
      </c>
    </row>
    <row r="12" spans="1:13" ht="18" hidden="1" customHeight="1" x14ac:dyDescent="0.2">
      <c r="B12" s="655"/>
      <c r="C12" s="656"/>
      <c r="E12" s="638" t="s">
        <v>4420</v>
      </c>
      <c r="F12" s="658" t="s">
        <v>4421</v>
      </c>
    </row>
    <row r="13" spans="1:13" ht="18" hidden="1" customHeight="1" x14ac:dyDescent="0.2">
      <c r="B13" s="655"/>
      <c r="C13" s="656"/>
      <c r="D13" s="659"/>
      <c r="E13" s="660"/>
      <c r="F13" s="658" t="s">
        <v>4422</v>
      </c>
      <c r="H13" s="661"/>
    </row>
    <row r="14" spans="1:13" ht="18" hidden="1" customHeight="1" x14ac:dyDescent="0.2">
      <c r="B14" s="655"/>
      <c r="C14" s="656"/>
      <c r="D14" s="643"/>
      <c r="E14" s="662"/>
      <c r="G14" s="662"/>
    </row>
    <row r="15" spans="1:13" ht="18" customHeight="1" x14ac:dyDescent="0.2">
      <c r="E15" s="821" t="s">
        <v>4576</v>
      </c>
      <c r="F15" s="821"/>
      <c r="G15" s="821"/>
    </row>
    <row r="16" spans="1:13" ht="18" customHeight="1" x14ac:dyDescent="0.2">
      <c r="E16" s="822" t="s">
        <v>4586</v>
      </c>
      <c r="F16" s="822"/>
      <c r="G16" s="822"/>
    </row>
    <row r="18" spans="1:15" ht="18" hidden="1" customHeight="1" x14ac:dyDescent="0.2"/>
    <row r="19" spans="1:15" s="664" customFormat="1" ht="31.5" customHeight="1" x14ac:dyDescent="0.2">
      <c r="A19" s="663" t="s">
        <v>4196</v>
      </c>
      <c r="B19" s="663" t="s">
        <v>4423</v>
      </c>
      <c r="C19" s="663" t="s">
        <v>4424</v>
      </c>
      <c r="D19" s="663" t="s">
        <v>4425</v>
      </c>
      <c r="E19" s="663" t="s">
        <v>4426</v>
      </c>
      <c r="F19" s="663" t="s">
        <v>4427</v>
      </c>
      <c r="G19" s="663" t="s">
        <v>4428</v>
      </c>
      <c r="N19" s="665"/>
    </row>
    <row r="20" spans="1:15" ht="12.75" customHeight="1" x14ac:dyDescent="0.2">
      <c r="A20" s="648" t="s">
        <v>4218</v>
      </c>
      <c r="B20" s="644">
        <v>1</v>
      </c>
      <c r="C20" s="666"/>
      <c r="D20" s="644" t="s">
        <v>4429</v>
      </c>
      <c r="E20" s="667">
        <v>40432</v>
      </c>
      <c r="F20" s="667"/>
      <c r="G20" s="667">
        <f>ROUND((E20+F20)*B20,2)</f>
        <v>40432</v>
      </c>
      <c r="N20" s="638"/>
      <c r="O20" s="639"/>
    </row>
    <row r="21" spans="1:15" ht="12.75" hidden="1" customHeight="1" x14ac:dyDescent="0.2">
      <c r="A21" s="648" t="s">
        <v>4218</v>
      </c>
      <c r="B21" s="644"/>
      <c r="C21" s="666"/>
      <c r="D21" s="644" t="s">
        <v>4430</v>
      </c>
      <c r="E21" s="667">
        <v>36212</v>
      </c>
      <c r="F21" s="667"/>
      <c r="G21" s="667">
        <f t="shared" ref="G21:G55" si="0">ROUND((E21+F21)*B21,2)</f>
        <v>0</v>
      </c>
      <c r="N21" s="638"/>
      <c r="O21" s="639"/>
    </row>
    <row r="22" spans="1:15" ht="12.75" hidden="1" customHeight="1" x14ac:dyDescent="0.2">
      <c r="A22" s="648" t="s">
        <v>4218</v>
      </c>
      <c r="B22" s="644"/>
      <c r="C22" s="666"/>
      <c r="D22" s="644" t="s">
        <v>4431</v>
      </c>
      <c r="E22" s="667">
        <v>35158</v>
      </c>
      <c r="F22" s="667"/>
      <c r="G22" s="667">
        <f t="shared" si="0"/>
        <v>0</v>
      </c>
      <c r="N22" s="638"/>
      <c r="O22" s="639"/>
    </row>
    <row r="23" spans="1:15" ht="12.75" hidden="1" customHeight="1" x14ac:dyDescent="0.2">
      <c r="A23" s="648" t="s">
        <v>4218</v>
      </c>
      <c r="B23" s="644"/>
      <c r="C23" s="666"/>
      <c r="D23" s="644" t="s">
        <v>4242</v>
      </c>
      <c r="E23" s="667">
        <v>34134</v>
      </c>
      <c r="F23" s="667"/>
      <c r="G23" s="667">
        <f t="shared" si="0"/>
        <v>0</v>
      </c>
      <c r="N23" s="638"/>
      <c r="O23" s="639"/>
    </row>
    <row r="24" spans="1:15" ht="12.75" hidden="1" customHeight="1" x14ac:dyDescent="0.2">
      <c r="A24" s="648" t="s">
        <v>4218</v>
      </c>
      <c r="B24" s="644"/>
      <c r="C24" s="666"/>
      <c r="D24" s="644"/>
      <c r="E24" s="667"/>
      <c r="F24" s="667"/>
      <c r="G24" s="667">
        <f t="shared" si="0"/>
        <v>0</v>
      </c>
      <c r="N24" s="638"/>
      <c r="O24" s="639"/>
    </row>
    <row r="25" spans="1:15" ht="12.75" hidden="1" customHeight="1" x14ac:dyDescent="0.2">
      <c r="A25" s="648" t="s">
        <v>4218</v>
      </c>
      <c r="B25" s="644"/>
      <c r="C25" s="666"/>
      <c r="D25" s="644"/>
      <c r="E25" s="667"/>
      <c r="F25" s="667"/>
      <c r="G25" s="667">
        <f t="shared" si="0"/>
        <v>0</v>
      </c>
      <c r="N25" s="638"/>
      <c r="O25" s="639"/>
    </row>
    <row r="26" spans="1:15" ht="12.75" hidden="1" customHeight="1" x14ac:dyDescent="0.2">
      <c r="A26" s="648" t="s">
        <v>4218</v>
      </c>
      <c r="B26" s="644"/>
      <c r="C26" s="666"/>
      <c r="D26" s="644"/>
      <c r="E26" s="667"/>
      <c r="F26" s="667"/>
      <c r="G26" s="667">
        <f t="shared" si="0"/>
        <v>0</v>
      </c>
      <c r="N26" s="638"/>
      <c r="O26" s="639"/>
    </row>
    <row r="27" spans="1:15" ht="12.75" hidden="1" x14ac:dyDescent="0.2">
      <c r="A27" s="648" t="s">
        <v>4218</v>
      </c>
      <c r="B27" s="644"/>
      <c r="C27" s="666"/>
      <c r="D27" s="644"/>
      <c r="E27" s="667"/>
      <c r="F27" s="667"/>
      <c r="G27" s="667">
        <f t="shared" si="0"/>
        <v>0</v>
      </c>
      <c r="N27" s="638"/>
      <c r="O27" s="639"/>
    </row>
    <row r="28" spans="1:15" ht="12.75" x14ac:dyDescent="0.2">
      <c r="A28" s="648" t="s">
        <v>4221</v>
      </c>
      <c r="B28" s="644">
        <v>3</v>
      </c>
      <c r="C28" s="666"/>
      <c r="D28" s="644" t="s">
        <v>4429</v>
      </c>
      <c r="E28" s="667">
        <v>36915</v>
      </c>
      <c r="F28" s="667"/>
      <c r="G28" s="667">
        <f t="shared" si="0"/>
        <v>110745</v>
      </c>
      <c r="N28" s="638"/>
      <c r="O28" s="639"/>
    </row>
    <row r="29" spans="1:15" ht="12" customHeight="1" x14ac:dyDescent="0.2">
      <c r="A29" s="648" t="s">
        <v>4221</v>
      </c>
      <c r="B29" s="644">
        <v>2</v>
      </c>
      <c r="C29" s="666"/>
      <c r="D29" s="644" t="s">
        <v>4430</v>
      </c>
      <c r="E29" s="667">
        <v>35841</v>
      </c>
      <c r="F29" s="667"/>
      <c r="G29" s="667">
        <f t="shared" si="0"/>
        <v>71682</v>
      </c>
      <c r="N29" s="638"/>
      <c r="O29" s="639"/>
    </row>
    <row r="30" spans="1:15" ht="12" hidden="1" customHeight="1" x14ac:dyDescent="0.2">
      <c r="A30" s="648" t="s">
        <v>4221</v>
      </c>
      <c r="B30" s="644"/>
      <c r="C30" s="666"/>
      <c r="D30" s="644" t="s">
        <v>4431</v>
      </c>
      <c r="E30" s="667">
        <v>32099</v>
      </c>
      <c r="F30" s="667"/>
      <c r="G30" s="667">
        <f t="shared" si="0"/>
        <v>0</v>
      </c>
      <c r="N30" s="638"/>
      <c r="O30" s="639"/>
    </row>
    <row r="31" spans="1:15" ht="12" hidden="1" customHeight="1" x14ac:dyDescent="0.2">
      <c r="A31" s="648" t="s">
        <v>4221</v>
      </c>
      <c r="B31" s="644"/>
      <c r="C31" s="666"/>
      <c r="D31" s="644" t="s">
        <v>4242</v>
      </c>
      <c r="E31" s="667">
        <v>31165</v>
      </c>
      <c r="F31" s="667"/>
      <c r="G31" s="667">
        <f t="shared" si="0"/>
        <v>0</v>
      </c>
      <c r="N31" s="638"/>
      <c r="O31" s="639"/>
    </row>
    <row r="32" spans="1:15" ht="12" hidden="1" customHeight="1" x14ac:dyDescent="0.2">
      <c r="A32" s="648" t="s">
        <v>4221</v>
      </c>
      <c r="B32" s="644"/>
      <c r="C32" s="666"/>
      <c r="D32" s="644"/>
      <c r="E32" s="667"/>
      <c r="F32" s="667"/>
      <c r="G32" s="667">
        <f t="shared" si="0"/>
        <v>0</v>
      </c>
      <c r="N32" s="638"/>
      <c r="O32" s="639"/>
    </row>
    <row r="33" spans="1:15" ht="12" hidden="1" customHeight="1" x14ac:dyDescent="0.2">
      <c r="A33" s="648" t="s">
        <v>4221</v>
      </c>
      <c r="B33" s="644"/>
      <c r="C33" s="666"/>
      <c r="D33" s="644"/>
      <c r="E33" s="667"/>
      <c r="F33" s="667"/>
      <c r="G33" s="667">
        <f t="shared" si="0"/>
        <v>0</v>
      </c>
      <c r="N33" s="638"/>
      <c r="O33" s="639"/>
    </row>
    <row r="34" spans="1:15" ht="12" hidden="1" customHeight="1" x14ac:dyDescent="0.2">
      <c r="A34" s="648" t="s">
        <v>4221</v>
      </c>
      <c r="B34" s="644"/>
      <c r="C34" s="666"/>
      <c r="D34" s="644"/>
      <c r="E34" s="667"/>
      <c r="F34" s="667"/>
      <c r="G34" s="667">
        <f t="shared" si="0"/>
        <v>0</v>
      </c>
      <c r="N34" s="638"/>
      <c r="O34" s="639"/>
    </row>
    <row r="35" spans="1:15" ht="12.75" hidden="1" x14ac:dyDescent="0.2">
      <c r="A35" s="648" t="s">
        <v>4221</v>
      </c>
      <c r="B35" s="644"/>
      <c r="C35" s="666"/>
      <c r="D35" s="644"/>
      <c r="E35" s="667"/>
      <c r="F35" s="667"/>
      <c r="G35" s="667">
        <f t="shared" si="0"/>
        <v>0</v>
      </c>
      <c r="N35" s="638"/>
      <c r="O35" s="639"/>
    </row>
    <row r="36" spans="1:15" ht="12.75" hidden="1" x14ac:dyDescent="0.2">
      <c r="A36" s="648" t="s">
        <v>4612</v>
      </c>
      <c r="B36" s="644"/>
      <c r="C36" s="666"/>
      <c r="D36" s="644" t="s">
        <v>4432</v>
      </c>
      <c r="E36" s="667">
        <v>26209</v>
      </c>
      <c r="F36" s="667"/>
      <c r="G36" s="667">
        <f t="shared" si="0"/>
        <v>0</v>
      </c>
      <c r="N36" s="638"/>
      <c r="O36" s="639"/>
    </row>
    <row r="37" spans="1:15" ht="12.75" hidden="1" x14ac:dyDescent="0.2">
      <c r="A37" s="648" t="s">
        <v>4612</v>
      </c>
      <c r="B37" s="644"/>
      <c r="C37" s="666"/>
      <c r="D37" s="644" t="s">
        <v>4433</v>
      </c>
      <c r="E37" s="667">
        <v>24965</v>
      </c>
      <c r="F37" s="667"/>
      <c r="G37" s="667">
        <f t="shared" si="0"/>
        <v>0</v>
      </c>
      <c r="N37" s="638"/>
      <c r="O37" s="639"/>
    </row>
    <row r="38" spans="1:15" ht="12.75" hidden="1" x14ac:dyDescent="0.2">
      <c r="A38" s="648" t="s">
        <v>4612</v>
      </c>
      <c r="B38" s="644"/>
      <c r="C38" s="666"/>
      <c r="D38" s="644" t="s">
        <v>4434</v>
      </c>
      <c r="E38" s="667">
        <v>24965</v>
      </c>
      <c r="F38" s="667"/>
      <c r="G38" s="667">
        <f t="shared" si="0"/>
        <v>0</v>
      </c>
      <c r="N38" s="638"/>
      <c r="O38" s="639"/>
    </row>
    <row r="39" spans="1:15" ht="12.75" hidden="1" x14ac:dyDescent="0.2">
      <c r="A39" s="648" t="s">
        <v>4612</v>
      </c>
      <c r="B39" s="644"/>
      <c r="C39" s="666"/>
      <c r="D39" s="644" t="s">
        <v>4435</v>
      </c>
      <c r="E39" s="667">
        <v>23710</v>
      </c>
      <c r="F39" s="667"/>
      <c r="G39" s="667">
        <f t="shared" si="0"/>
        <v>0</v>
      </c>
      <c r="N39" s="638"/>
      <c r="O39" s="639"/>
    </row>
    <row r="40" spans="1:15" ht="12.75" hidden="1" x14ac:dyDescent="0.2">
      <c r="A40" s="648" t="s">
        <v>4612</v>
      </c>
      <c r="B40" s="644"/>
      <c r="C40" s="666"/>
      <c r="D40" s="644" t="s">
        <v>4436</v>
      </c>
      <c r="E40" s="667">
        <v>23710</v>
      </c>
      <c r="F40" s="667"/>
      <c r="G40" s="667">
        <f t="shared" si="0"/>
        <v>0</v>
      </c>
      <c r="N40" s="638"/>
      <c r="O40" s="639"/>
    </row>
    <row r="41" spans="1:15" ht="12.75" hidden="1" x14ac:dyDescent="0.2">
      <c r="A41" s="648" t="s">
        <v>4612</v>
      </c>
      <c r="B41" s="644"/>
      <c r="C41" s="666"/>
      <c r="D41" s="644" t="s">
        <v>4437</v>
      </c>
      <c r="E41" s="667">
        <v>22471</v>
      </c>
      <c r="F41" s="667"/>
      <c r="G41" s="667">
        <f t="shared" si="0"/>
        <v>0</v>
      </c>
      <c r="N41" s="638"/>
      <c r="O41" s="639"/>
    </row>
    <row r="42" spans="1:15" ht="12.75" hidden="1" x14ac:dyDescent="0.2">
      <c r="A42" s="648" t="s">
        <v>4612</v>
      </c>
      <c r="B42" s="644"/>
      <c r="C42" s="666"/>
      <c r="D42" s="644" t="s">
        <v>4438</v>
      </c>
      <c r="E42" s="667">
        <v>22471</v>
      </c>
      <c r="F42" s="667"/>
      <c r="G42" s="667">
        <f t="shared" si="0"/>
        <v>0</v>
      </c>
      <c r="N42" s="638"/>
      <c r="O42" s="639"/>
    </row>
    <row r="43" spans="1:15" ht="12.75" hidden="1" x14ac:dyDescent="0.2">
      <c r="A43" s="648" t="s">
        <v>4612</v>
      </c>
      <c r="B43" s="644"/>
      <c r="C43" s="666"/>
      <c r="D43" s="644" t="s">
        <v>4439</v>
      </c>
      <c r="E43" s="667">
        <v>22226</v>
      </c>
      <c r="F43" s="667"/>
      <c r="G43" s="667">
        <f t="shared" si="0"/>
        <v>0</v>
      </c>
      <c r="N43" s="638"/>
      <c r="O43" s="639"/>
    </row>
    <row r="44" spans="1:15" ht="12.75" hidden="1" x14ac:dyDescent="0.2">
      <c r="A44" s="668" t="s">
        <v>4269</v>
      </c>
      <c r="B44" s="644"/>
      <c r="C44" s="666"/>
      <c r="D44" s="644"/>
      <c r="E44" s="669">
        <v>29681</v>
      </c>
      <c r="F44" s="667"/>
      <c r="G44" s="667">
        <f t="shared" si="0"/>
        <v>0</v>
      </c>
      <c r="N44" s="638"/>
      <c r="O44" s="639"/>
    </row>
    <row r="45" spans="1:15" ht="12.75" hidden="1" x14ac:dyDescent="0.2">
      <c r="A45" s="668" t="s">
        <v>4269</v>
      </c>
      <c r="B45" s="644"/>
      <c r="C45" s="666"/>
      <c r="D45" s="644"/>
      <c r="E45" s="669"/>
      <c r="F45" s="667"/>
      <c r="G45" s="667">
        <f t="shared" si="0"/>
        <v>0</v>
      </c>
      <c r="N45" s="638"/>
      <c r="O45" s="639"/>
    </row>
    <row r="46" spans="1:15" ht="12.75" hidden="1" x14ac:dyDescent="0.2">
      <c r="A46" s="668" t="s">
        <v>4269</v>
      </c>
      <c r="B46" s="644"/>
      <c r="C46" s="666"/>
      <c r="D46" s="644"/>
      <c r="E46" s="669"/>
      <c r="F46" s="667"/>
      <c r="G46" s="667">
        <f t="shared" si="0"/>
        <v>0</v>
      </c>
      <c r="N46" s="638"/>
      <c r="O46" s="639"/>
    </row>
    <row r="47" spans="1:15" ht="12.75" hidden="1" x14ac:dyDescent="0.2">
      <c r="A47" s="668" t="s">
        <v>4269</v>
      </c>
      <c r="B47" s="644"/>
      <c r="C47" s="666"/>
      <c r="D47" s="644"/>
      <c r="E47" s="669"/>
      <c r="F47" s="667"/>
      <c r="G47" s="667">
        <f t="shared" si="0"/>
        <v>0</v>
      </c>
      <c r="N47" s="638"/>
      <c r="O47" s="639"/>
    </row>
    <row r="48" spans="1:15" ht="12.75" hidden="1" x14ac:dyDescent="0.2">
      <c r="A48" s="668" t="s">
        <v>4223</v>
      </c>
      <c r="B48" s="644"/>
      <c r="C48" s="666"/>
      <c r="D48" s="644" t="s">
        <v>4429</v>
      </c>
      <c r="E48" s="669">
        <v>34054</v>
      </c>
      <c r="F48" s="667"/>
      <c r="G48" s="667">
        <f t="shared" si="0"/>
        <v>0</v>
      </c>
      <c r="N48" s="638"/>
      <c r="O48" s="639"/>
    </row>
    <row r="49" spans="1:15" ht="12.75" hidden="1" x14ac:dyDescent="0.2">
      <c r="A49" s="668" t="s">
        <v>4223</v>
      </c>
      <c r="B49" s="644"/>
      <c r="C49" s="666"/>
      <c r="D49" s="644" t="s">
        <v>4430</v>
      </c>
      <c r="E49" s="669">
        <v>33063</v>
      </c>
      <c r="F49" s="667"/>
      <c r="G49" s="667">
        <f t="shared" si="0"/>
        <v>0</v>
      </c>
      <c r="N49" s="638"/>
      <c r="O49" s="639"/>
    </row>
    <row r="50" spans="1:15" ht="12.75" hidden="1" x14ac:dyDescent="0.2">
      <c r="A50" s="668" t="s">
        <v>4223</v>
      </c>
      <c r="B50" s="644"/>
      <c r="C50" s="666"/>
      <c r="D50" s="644" t="s">
        <v>4431</v>
      </c>
      <c r="E50" s="669">
        <v>32099</v>
      </c>
      <c r="F50" s="667"/>
      <c r="G50" s="667">
        <f t="shared" si="0"/>
        <v>0</v>
      </c>
      <c r="N50" s="638"/>
      <c r="O50" s="639"/>
    </row>
    <row r="51" spans="1:15" ht="12.75" hidden="1" x14ac:dyDescent="0.2">
      <c r="A51" s="668" t="s">
        <v>4223</v>
      </c>
      <c r="B51" s="644"/>
      <c r="C51" s="666"/>
      <c r="D51" s="644" t="s">
        <v>4242</v>
      </c>
      <c r="E51" s="669">
        <v>31165</v>
      </c>
      <c r="F51" s="667"/>
      <c r="G51" s="667">
        <f t="shared" si="0"/>
        <v>0</v>
      </c>
      <c r="N51" s="638"/>
      <c r="O51" s="639"/>
    </row>
    <row r="52" spans="1:15" ht="12.75" hidden="1" x14ac:dyDescent="0.2">
      <c r="A52" s="668" t="s">
        <v>4225</v>
      </c>
      <c r="B52" s="644"/>
      <c r="C52" s="666"/>
      <c r="D52" s="644" t="s">
        <v>4429</v>
      </c>
      <c r="E52" s="669">
        <v>34054</v>
      </c>
      <c r="F52" s="667"/>
      <c r="G52" s="667">
        <f t="shared" si="0"/>
        <v>0</v>
      </c>
      <c r="N52" s="638"/>
      <c r="O52" s="639"/>
    </row>
    <row r="53" spans="1:15" ht="12.75" hidden="1" x14ac:dyDescent="0.2">
      <c r="A53" s="668" t="s">
        <v>4440</v>
      </c>
      <c r="B53" s="644"/>
      <c r="C53" s="666"/>
      <c r="D53" s="644" t="s">
        <v>4430</v>
      </c>
      <c r="E53" s="669">
        <v>33063</v>
      </c>
      <c r="F53" s="667"/>
      <c r="G53" s="667">
        <f t="shared" si="0"/>
        <v>0</v>
      </c>
      <c r="N53" s="638"/>
      <c r="O53" s="639"/>
    </row>
    <row r="54" spans="1:15" ht="12.75" hidden="1" x14ac:dyDescent="0.2">
      <c r="A54" s="668" t="s">
        <v>4440</v>
      </c>
      <c r="B54" s="644"/>
      <c r="C54" s="666"/>
      <c r="D54" s="644" t="s">
        <v>4431</v>
      </c>
      <c r="E54" s="669">
        <v>32099</v>
      </c>
      <c r="F54" s="667"/>
      <c r="G54" s="667">
        <f t="shared" si="0"/>
        <v>0</v>
      </c>
      <c r="N54" s="638"/>
      <c r="O54" s="639"/>
    </row>
    <row r="55" spans="1:15" s="670" customFormat="1" ht="12.75" hidden="1" x14ac:dyDescent="0.2">
      <c r="A55" s="668" t="s">
        <v>4440</v>
      </c>
      <c r="B55" s="644"/>
      <c r="C55" s="666"/>
      <c r="D55" s="644" t="s">
        <v>4242</v>
      </c>
      <c r="E55" s="669">
        <v>31165</v>
      </c>
      <c r="F55" s="667"/>
      <c r="G55" s="667">
        <f t="shared" si="0"/>
        <v>0</v>
      </c>
      <c r="H55" s="638"/>
      <c r="I55" s="638"/>
      <c r="J55" s="638"/>
      <c r="K55" s="638"/>
      <c r="O55" s="671"/>
    </row>
    <row r="56" spans="1:15" s="670" customFormat="1" ht="12.75" x14ac:dyDescent="0.2">
      <c r="A56" s="668" t="s">
        <v>4441</v>
      </c>
      <c r="B56" s="644">
        <f>SUM(B20:B55)</f>
        <v>6</v>
      </c>
      <c r="C56" s="666"/>
      <c r="D56" s="644"/>
      <c r="E56" s="667"/>
      <c r="F56" s="667"/>
      <c r="G56" s="667">
        <f>SUM(G20:G55)</f>
        <v>222859</v>
      </c>
      <c r="H56" s="638"/>
      <c r="I56" s="638"/>
      <c r="J56" s="638"/>
      <c r="K56" s="638"/>
      <c r="O56" s="671"/>
    </row>
    <row r="57" spans="1:15" ht="25.5" hidden="1" x14ac:dyDescent="0.2">
      <c r="A57" s="668" t="s">
        <v>4270</v>
      </c>
      <c r="B57" s="644">
        <v>0</v>
      </c>
      <c r="C57" s="672" t="s">
        <v>4442</v>
      </c>
      <c r="D57" s="644"/>
      <c r="E57" s="667"/>
      <c r="F57" s="667">
        <f>E57*0.25</f>
        <v>0</v>
      </c>
      <c r="G57" s="667">
        <f t="shared" ref="G57:G84" si="1">ROUND((E57+F57)*B57,2)</f>
        <v>0</v>
      </c>
      <c r="H57" s="635"/>
      <c r="I57" s="636"/>
      <c r="N57" s="638"/>
      <c r="O57" s="639"/>
    </row>
    <row r="58" spans="1:15" ht="25.5" hidden="1" x14ac:dyDescent="0.2">
      <c r="A58" s="668" t="s">
        <v>4270</v>
      </c>
      <c r="B58" s="644"/>
      <c r="C58" s="672" t="s">
        <v>4442</v>
      </c>
      <c r="D58" s="673" t="s">
        <v>4444</v>
      </c>
      <c r="E58" s="667"/>
      <c r="F58" s="667">
        <f t="shared" ref="F58:F72" si="2">E58*0.25</f>
        <v>0</v>
      </c>
      <c r="G58" s="667">
        <f t="shared" si="1"/>
        <v>0</v>
      </c>
      <c r="H58" s="635"/>
      <c r="I58" s="636"/>
      <c r="N58" s="638"/>
      <c r="O58" s="639"/>
    </row>
    <row r="59" spans="1:15" ht="25.5" hidden="1" x14ac:dyDescent="0.2">
      <c r="A59" s="668" t="s">
        <v>4270</v>
      </c>
      <c r="B59" s="644"/>
      <c r="C59" s="672" t="s">
        <v>4442</v>
      </c>
      <c r="D59" s="674" t="s">
        <v>4445</v>
      </c>
      <c r="E59" s="667"/>
      <c r="F59" s="667">
        <f t="shared" si="2"/>
        <v>0</v>
      </c>
      <c r="G59" s="667">
        <f t="shared" si="1"/>
        <v>0</v>
      </c>
      <c r="H59" s="635"/>
      <c r="I59" s="636"/>
      <c r="N59" s="638"/>
      <c r="O59" s="639"/>
    </row>
    <row r="60" spans="1:15" ht="25.5" hidden="1" x14ac:dyDescent="0.2">
      <c r="A60" s="668" t="s">
        <v>4270</v>
      </c>
      <c r="B60" s="644"/>
      <c r="C60" s="672" t="s">
        <v>4442</v>
      </c>
      <c r="D60" s="675" t="s">
        <v>4446</v>
      </c>
      <c r="E60" s="667"/>
      <c r="F60" s="667">
        <f t="shared" si="2"/>
        <v>0</v>
      </c>
      <c r="G60" s="667">
        <f t="shared" si="1"/>
        <v>0</v>
      </c>
      <c r="H60" s="635"/>
      <c r="I60" s="636"/>
      <c r="N60" s="638"/>
      <c r="O60" s="639"/>
    </row>
    <row r="61" spans="1:15" ht="25.5" hidden="1" x14ac:dyDescent="0.2">
      <c r="A61" s="668" t="s">
        <v>4270</v>
      </c>
      <c r="B61" s="644"/>
      <c r="C61" s="672" t="s">
        <v>4442</v>
      </c>
      <c r="D61" s="644" t="s">
        <v>4447</v>
      </c>
      <c r="E61" s="667"/>
      <c r="F61" s="667">
        <f t="shared" si="2"/>
        <v>0</v>
      </c>
      <c r="G61" s="667">
        <f t="shared" si="1"/>
        <v>0</v>
      </c>
      <c r="H61" s="635"/>
      <c r="I61" s="636"/>
      <c r="N61" s="638"/>
      <c r="O61" s="639"/>
    </row>
    <row r="62" spans="1:15" ht="25.5" hidden="1" x14ac:dyDescent="0.2">
      <c r="A62" s="668" t="s">
        <v>4270</v>
      </c>
      <c r="B62" s="644"/>
      <c r="C62" s="672" t="s">
        <v>4442</v>
      </c>
      <c r="D62" s="644" t="s">
        <v>4448</v>
      </c>
      <c r="E62" s="667"/>
      <c r="F62" s="667">
        <f t="shared" si="2"/>
        <v>0</v>
      </c>
      <c r="G62" s="667">
        <f t="shared" si="1"/>
        <v>0</v>
      </c>
      <c r="H62" s="637"/>
      <c r="I62" s="636"/>
      <c r="N62" s="638"/>
      <c r="O62" s="639"/>
    </row>
    <row r="63" spans="1:15" ht="25.5" hidden="1" x14ac:dyDescent="0.2">
      <c r="A63" s="668" t="s">
        <v>4270</v>
      </c>
      <c r="B63" s="644"/>
      <c r="C63" s="672" t="s">
        <v>4449</v>
      </c>
      <c r="D63" s="644" t="s">
        <v>4443</v>
      </c>
      <c r="E63" s="667"/>
      <c r="F63" s="667">
        <f t="shared" si="2"/>
        <v>0</v>
      </c>
      <c r="G63" s="667">
        <f t="shared" si="1"/>
        <v>0</v>
      </c>
      <c r="H63" s="635"/>
      <c r="I63" s="636"/>
      <c r="N63" s="638"/>
      <c r="O63" s="639"/>
    </row>
    <row r="64" spans="1:15" ht="25.5" hidden="1" x14ac:dyDescent="0.2">
      <c r="A64" s="668" t="s">
        <v>4270</v>
      </c>
      <c r="B64" s="644"/>
      <c r="C64" s="672" t="s">
        <v>4449</v>
      </c>
      <c r="D64" s="673" t="s">
        <v>4242</v>
      </c>
      <c r="E64" s="667"/>
      <c r="F64" s="667">
        <f t="shared" si="2"/>
        <v>0</v>
      </c>
      <c r="G64" s="667">
        <f t="shared" si="1"/>
        <v>0</v>
      </c>
      <c r="H64" s="635"/>
      <c r="I64" s="636"/>
      <c r="N64" s="638"/>
      <c r="O64" s="639"/>
    </row>
    <row r="65" spans="1:15" ht="25.5" hidden="1" x14ac:dyDescent="0.2">
      <c r="A65" s="668" t="s">
        <v>4270</v>
      </c>
      <c r="B65" s="644"/>
      <c r="C65" s="672" t="s">
        <v>4449</v>
      </c>
      <c r="D65" s="674" t="s">
        <v>4445</v>
      </c>
      <c r="E65" s="667"/>
      <c r="F65" s="667">
        <f t="shared" si="2"/>
        <v>0</v>
      </c>
      <c r="G65" s="667">
        <f t="shared" si="1"/>
        <v>0</v>
      </c>
      <c r="H65" s="635"/>
      <c r="I65" s="636"/>
      <c r="N65" s="638"/>
      <c r="O65" s="639"/>
    </row>
    <row r="66" spans="1:15" ht="25.5" hidden="1" x14ac:dyDescent="0.2">
      <c r="A66" s="668" t="s">
        <v>4270</v>
      </c>
      <c r="B66" s="644"/>
      <c r="C66" s="672" t="s">
        <v>4449</v>
      </c>
      <c r="D66" s="675" t="s">
        <v>4446</v>
      </c>
      <c r="E66" s="667"/>
      <c r="F66" s="667">
        <f t="shared" si="2"/>
        <v>0</v>
      </c>
      <c r="G66" s="667">
        <f t="shared" si="1"/>
        <v>0</v>
      </c>
      <c r="H66" s="635"/>
      <c r="I66" s="636"/>
      <c r="N66" s="638"/>
      <c r="O66" s="639"/>
    </row>
    <row r="67" spans="1:15" ht="25.5" hidden="1" x14ac:dyDescent="0.2">
      <c r="A67" s="668" t="s">
        <v>4270</v>
      </c>
      <c r="B67" s="644"/>
      <c r="C67" s="672" t="s">
        <v>4449</v>
      </c>
      <c r="D67" s="644" t="s">
        <v>4447</v>
      </c>
      <c r="E67" s="667"/>
      <c r="F67" s="667">
        <f t="shared" si="2"/>
        <v>0</v>
      </c>
      <c r="G67" s="667">
        <f t="shared" si="1"/>
        <v>0</v>
      </c>
      <c r="H67" s="635"/>
      <c r="I67" s="636"/>
      <c r="N67" s="638"/>
      <c r="O67" s="639"/>
    </row>
    <row r="68" spans="1:15" ht="25.5" hidden="1" x14ac:dyDescent="0.2">
      <c r="A68" s="668" t="s">
        <v>4270</v>
      </c>
      <c r="B68" s="644"/>
      <c r="C68" s="672" t="s">
        <v>4449</v>
      </c>
      <c r="D68" s="644" t="s">
        <v>4448</v>
      </c>
      <c r="E68" s="667"/>
      <c r="F68" s="667">
        <f t="shared" si="2"/>
        <v>0</v>
      </c>
      <c r="G68" s="667">
        <f t="shared" si="1"/>
        <v>0</v>
      </c>
      <c r="H68" s="637"/>
      <c r="I68" s="636"/>
      <c r="N68" s="638"/>
      <c r="O68" s="639"/>
    </row>
    <row r="69" spans="1:15" ht="38.25" hidden="1" x14ac:dyDescent="0.2">
      <c r="A69" s="668" t="s">
        <v>4270</v>
      </c>
      <c r="B69" s="644"/>
      <c r="C69" s="672" t="s">
        <v>4274</v>
      </c>
      <c r="D69" s="644" t="s">
        <v>4443</v>
      </c>
      <c r="E69" s="667"/>
      <c r="F69" s="667">
        <f t="shared" si="2"/>
        <v>0</v>
      </c>
      <c r="G69" s="667">
        <f t="shared" si="1"/>
        <v>0</v>
      </c>
      <c r="H69" s="662"/>
      <c r="I69" s="636"/>
      <c r="N69" s="638"/>
      <c r="O69" s="639"/>
    </row>
    <row r="70" spans="1:15" ht="38.25" hidden="1" x14ac:dyDescent="0.2">
      <c r="A70" s="668" t="s">
        <v>4270</v>
      </c>
      <c r="B70" s="644"/>
      <c r="C70" s="672" t="s">
        <v>4274</v>
      </c>
      <c r="D70" s="673" t="s">
        <v>4444</v>
      </c>
      <c r="E70" s="667"/>
      <c r="F70" s="667">
        <f t="shared" si="2"/>
        <v>0</v>
      </c>
      <c r="G70" s="667">
        <f t="shared" si="1"/>
        <v>0</v>
      </c>
      <c r="H70" s="662"/>
      <c r="I70" s="636"/>
      <c r="N70" s="638"/>
      <c r="O70" s="639"/>
    </row>
    <row r="71" spans="1:15" ht="38.25" hidden="1" x14ac:dyDescent="0.2">
      <c r="A71" s="668" t="s">
        <v>4270</v>
      </c>
      <c r="B71" s="644"/>
      <c r="C71" s="672" t="s">
        <v>4274</v>
      </c>
      <c r="D71" s="674" t="s">
        <v>4445</v>
      </c>
      <c r="E71" s="667"/>
      <c r="F71" s="667">
        <f t="shared" si="2"/>
        <v>0</v>
      </c>
      <c r="G71" s="667">
        <f t="shared" si="1"/>
        <v>0</v>
      </c>
      <c r="H71" s="662"/>
      <c r="I71" s="636"/>
      <c r="N71" s="638"/>
      <c r="O71" s="639"/>
    </row>
    <row r="72" spans="1:15" ht="38.25" hidden="1" x14ac:dyDescent="0.2">
      <c r="A72" s="668" t="s">
        <v>4270</v>
      </c>
      <c r="B72" s="644"/>
      <c r="C72" s="672" t="s">
        <v>4274</v>
      </c>
      <c r="D72" s="675" t="s">
        <v>4446</v>
      </c>
      <c r="E72" s="667"/>
      <c r="F72" s="667">
        <f t="shared" si="2"/>
        <v>0</v>
      </c>
      <c r="G72" s="667">
        <f t="shared" si="1"/>
        <v>0</v>
      </c>
      <c r="H72" s="662"/>
      <c r="I72" s="636"/>
      <c r="N72" s="638"/>
      <c r="O72" s="639"/>
    </row>
    <row r="73" spans="1:15" ht="12.75" x14ac:dyDescent="0.2">
      <c r="A73" s="668" t="s">
        <v>4270</v>
      </c>
      <c r="B73" s="644">
        <v>1</v>
      </c>
      <c r="C73" s="672"/>
      <c r="D73" s="644" t="s">
        <v>4242</v>
      </c>
      <c r="E73" s="667">
        <v>34781</v>
      </c>
      <c r="F73" s="667"/>
      <c r="G73" s="667">
        <f t="shared" si="1"/>
        <v>34781</v>
      </c>
      <c r="H73" s="662"/>
      <c r="I73" s="636"/>
      <c r="N73" s="638"/>
      <c r="O73" s="639"/>
    </row>
    <row r="74" spans="1:15" ht="12.75" x14ac:dyDescent="0.2">
      <c r="A74" s="668" t="s">
        <v>4270</v>
      </c>
      <c r="B74" s="644">
        <v>3.1</v>
      </c>
      <c r="C74" s="666"/>
      <c r="D74" s="644" t="s">
        <v>4450</v>
      </c>
      <c r="E74" s="667">
        <v>34781</v>
      </c>
      <c r="F74" s="667"/>
      <c r="G74" s="667">
        <f>ROUND((E74+F74)*B74,2)</f>
        <v>107821.1</v>
      </c>
      <c r="H74" s="676">
        <f>I74*3000</f>
        <v>6000</v>
      </c>
      <c r="I74" s="667">
        <v>2</v>
      </c>
      <c r="N74" s="638"/>
      <c r="O74" s="639"/>
    </row>
    <row r="75" spans="1:15" ht="12.75" x14ac:dyDescent="0.2">
      <c r="A75" s="668" t="s">
        <v>4270</v>
      </c>
      <c r="B75" s="644">
        <v>1.9</v>
      </c>
      <c r="C75" s="666"/>
      <c r="D75" s="644" t="s">
        <v>4429</v>
      </c>
      <c r="E75" s="667">
        <v>34781</v>
      </c>
      <c r="F75" s="667"/>
      <c r="G75" s="667">
        <f>ROUND((E75+F75)*B75,2)</f>
        <v>66083.899999999994</v>
      </c>
      <c r="H75" s="676">
        <f>I75*6000</f>
        <v>12000</v>
      </c>
      <c r="I75" s="667">
        <v>2</v>
      </c>
      <c r="N75" s="638"/>
      <c r="O75" s="639"/>
    </row>
    <row r="76" spans="1:15" ht="12.75" x14ac:dyDescent="0.2">
      <c r="A76" s="668" t="s">
        <v>4451</v>
      </c>
      <c r="B76" s="644">
        <f>SUM(B57:B75)</f>
        <v>6</v>
      </c>
      <c r="C76" s="666"/>
      <c r="D76" s="644"/>
      <c r="E76" s="667"/>
      <c r="F76" s="667"/>
      <c r="G76" s="667">
        <f>SUM(G57:G75)</f>
        <v>208686</v>
      </c>
      <c r="H76" s="677"/>
      <c r="N76" s="638"/>
      <c r="O76" s="639"/>
    </row>
    <row r="77" spans="1:15" ht="13.5" customHeight="1" x14ac:dyDescent="0.2">
      <c r="A77" s="678" t="s">
        <v>4277</v>
      </c>
      <c r="B77" s="679">
        <v>0.5</v>
      </c>
      <c r="C77" s="672" t="s">
        <v>4242</v>
      </c>
      <c r="D77" s="644"/>
      <c r="E77" s="680">
        <v>26517</v>
      </c>
      <c r="F77" s="667">
        <f>E77*0.25</f>
        <v>6629.25</v>
      </c>
      <c r="G77" s="667">
        <f>ROUND((E77+F77)*B77,2)</f>
        <v>16573.13</v>
      </c>
      <c r="H77" s="681"/>
      <c r="I77" s="670"/>
      <c r="J77" s="670"/>
      <c r="K77" s="670"/>
      <c r="N77" s="638"/>
      <c r="O77" s="639"/>
    </row>
    <row r="78" spans="1:15" ht="13.5" customHeight="1" x14ac:dyDescent="0.2">
      <c r="A78" s="678" t="s">
        <v>4277</v>
      </c>
      <c r="B78" s="679">
        <v>0.25</v>
      </c>
      <c r="C78" s="672" t="s">
        <v>4450</v>
      </c>
      <c r="D78" s="679"/>
      <c r="E78" s="680">
        <v>29105</v>
      </c>
      <c r="F78" s="667">
        <f>E78*0.25</f>
        <v>7276.25</v>
      </c>
      <c r="G78" s="667">
        <f>ROUND((E78+F78)*B78,2)</f>
        <v>9095.31</v>
      </c>
      <c r="H78" s="681"/>
      <c r="I78" s="670"/>
      <c r="J78" s="670"/>
      <c r="K78" s="670"/>
      <c r="N78" s="638"/>
      <c r="O78" s="639"/>
    </row>
    <row r="79" spans="1:15" ht="13.5" customHeight="1" x14ac:dyDescent="0.2">
      <c r="A79" s="678" t="s">
        <v>4277</v>
      </c>
      <c r="B79" s="679">
        <v>3</v>
      </c>
      <c r="C79" s="644" t="s">
        <v>4429</v>
      </c>
      <c r="D79" s="679"/>
      <c r="E79" s="682">
        <v>31053</v>
      </c>
      <c r="F79" s="667">
        <f>E79*0.25+(E79*0.1*1.5/B79)</f>
        <v>9315.9</v>
      </c>
      <c r="G79" s="667">
        <f>ROUND((E79+F79)*B79,2)</f>
        <v>121106.7</v>
      </c>
      <c r="H79" s="681" t="s">
        <v>4613</v>
      </c>
      <c r="I79" s="670"/>
      <c r="J79" s="670"/>
      <c r="K79" s="670"/>
      <c r="N79" s="638"/>
      <c r="O79" s="639"/>
    </row>
    <row r="80" spans="1:15" ht="13.5" customHeight="1" x14ac:dyDescent="0.2">
      <c r="A80" s="678" t="s">
        <v>4452</v>
      </c>
      <c r="B80" s="679">
        <f>B77+B79+B78</f>
        <v>3.75</v>
      </c>
      <c r="C80" s="683"/>
      <c r="D80" s="679"/>
      <c r="E80" s="680"/>
      <c r="F80" s="679"/>
      <c r="G80" s="684">
        <f>SUM(G77:G79)</f>
        <v>146775.14000000001</v>
      </c>
      <c r="H80" s="670"/>
      <c r="I80" s="670"/>
      <c r="J80" s="670"/>
      <c r="K80" s="670"/>
      <c r="N80" s="638"/>
      <c r="O80" s="639"/>
    </row>
    <row r="81" spans="1:15" ht="12.75" hidden="1" x14ac:dyDescent="0.2">
      <c r="A81" s="668" t="s">
        <v>4238</v>
      </c>
      <c r="B81" s="644"/>
      <c r="C81" s="666" t="s">
        <v>4453</v>
      </c>
      <c r="D81" s="644" t="s">
        <v>4450</v>
      </c>
      <c r="E81" s="682">
        <v>34540</v>
      </c>
      <c r="F81" s="667"/>
      <c r="G81" s="667">
        <f t="shared" si="1"/>
        <v>0</v>
      </c>
      <c r="N81" s="638"/>
      <c r="O81" s="639"/>
    </row>
    <row r="82" spans="1:15" ht="12.75" hidden="1" x14ac:dyDescent="0.2">
      <c r="A82" s="668" t="s">
        <v>4238</v>
      </c>
      <c r="B82" s="644"/>
      <c r="C82" s="666" t="s">
        <v>4454</v>
      </c>
      <c r="D82" s="644" t="s">
        <v>4431</v>
      </c>
      <c r="E82" s="682">
        <v>31448</v>
      </c>
      <c r="F82" s="667"/>
      <c r="G82" s="667">
        <f t="shared" si="1"/>
        <v>0</v>
      </c>
      <c r="N82" s="638"/>
      <c r="O82" s="639"/>
    </row>
    <row r="83" spans="1:15" ht="12.75" hidden="1" x14ac:dyDescent="0.2">
      <c r="A83" s="668" t="s">
        <v>4238</v>
      </c>
      <c r="B83" s="644"/>
      <c r="C83" s="666" t="s">
        <v>4455</v>
      </c>
      <c r="D83" s="644" t="s">
        <v>4242</v>
      </c>
      <c r="E83" s="682">
        <v>26451</v>
      </c>
      <c r="F83" s="667"/>
      <c r="G83" s="667">
        <f t="shared" si="1"/>
        <v>0</v>
      </c>
      <c r="N83" s="638"/>
      <c r="O83" s="639"/>
    </row>
    <row r="84" spans="1:15" ht="12.75" hidden="1" x14ac:dyDescent="0.2">
      <c r="A84" s="668" t="s">
        <v>4456</v>
      </c>
      <c r="B84" s="644"/>
      <c r="C84" s="666" t="s">
        <v>4453</v>
      </c>
      <c r="D84" s="644" t="s">
        <v>4450</v>
      </c>
      <c r="E84" s="682">
        <v>34540</v>
      </c>
      <c r="F84" s="667"/>
      <c r="G84" s="667">
        <f t="shared" si="1"/>
        <v>0</v>
      </c>
      <c r="N84" s="638"/>
      <c r="O84" s="639"/>
    </row>
    <row r="85" spans="1:15" ht="12.75" hidden="1" x14ac:dyDescent="0.2">
      <c r="A85" s="668" t="s">
        <v>4456</v>
      </c>
      <c r="B85" s="644"/>
      <c r="C85" s="666" t="s">
        <v>4454</v>
      </c>
      <c r="D85" s="644" t="s">
        <v>4431</v>
      </c>
      <c r="E85" s="682">
        <v>31448</v>
      </c>
      <c r="F85" s="667"/>
      <c r="G85" s="667">
        <f t="shared" ref="G85:G110" si="3">ROUND((E85+F85)*B85,2)</f>
        <v>0</v>
      </c>
      <c r="N85" s="638"/>
      <c r="O85" s="639"/>
    </row>
    <row r="86" spans="1:15" ht="12.75" hidden="1" x14ac:dyDescent="0.2">
      <c r="A86" s="668" t="s">
        <v>4456</v>
      </c>
      <c r="B86" s="644"/>
      <c r="C86" s="666" t="s">
        <v>4455</v>
      </c>
      <c r="D86" s="644" t="s">
        <v>4242</v>
      </c>
      <c r="E86" s="682">
        <v>26451</v>
      </c>
      <c r="F86" s="667"/>
      <c r="G86" s="667">
        <f t="shared" si="3"/>
        <v>0</v>
      </c>
      <c r="N86" s="638"/>
      <c r="O86" s="639"/>
    </row>
    <row r="87" spans="1:15" ht="12.75" hidden="1" x14ac:dyDescent="0.2">
      <c r="A87" s="668" t="s">
        <v>4240</v>
      </c>
      <c r="B87" s="644"/>
      <c r="C87" s="666" t="s">
        <v>4453</v>
      </c>
      <c r="D87" s="644" t="s">
        <v>4450</v>
      </c>
      <c r="E87" s="682">
        <v>34540</v>
      </c>
      <c r="F87" s="667"/>
      <c r="G87" s="667">
        <f t="shared" si="3"/>
        <v>0</v>
      </c>
      <c r="N87" s="638"/>
      <c r="O87" s="639"/>
    </row>
    <row r="88" spans="1:15" ht="12.75" hidden="1" x14ac:dyDescent="0.2">
      <c r="A88" s="668" t="s">
        <v>4240</v>
      </c>
      <c r="B88" s="644"/>
      <c r="C88" s="666" t="s">
        <v>4454</v>
      </c>
      <c r="D88" s="644" t="s">
        <v>4431</v>
      </c>
      <c r="E88" s="682">
        <v>31448</v>
      </c>
      <c r="F88" s="667"/>
      <c r="G88" s="667">
        <f t="shared" si="3"/>
        <v>0</v>
      </c>
      <c r="N88" s="638"/>
      <c r="O88" s="639"/>
    </row>
    <row r="89" spans="1:15" ht="12.75" hidden="1" x14ac:dyDescent="0.2">
      <c r="A89" s="668" t="s">
        <v>4240</v>
      </c>
      <c r="B89" s="644"/>
      <c r="C89" s="666" t="s">
        <v>4455</v>
      </c>
      <c r="D89" s="644" t="s">
        <v>4242</v>
      </c>
      <c r="E89" s="682">
        <v>26451</v>
      </c>
      <c r="F89" s="667"/>
      <c r="G89" s="667">
        <f t="shared" si="3"/>
        <v>0</v>
      </c>
      <c r="N89" s="638"/>
      <c r="O89" s="639"/>
    </row>
    <row r="90" spans="1:15" ht="12.75" hidden="1" x14ac:dyDescent="0.2">
      <c r="A90" s="668" t="s">
        <v>4241</v>
      </c>
      <c r="B90" s="644"/>
      <c r="C90" s="666" t="s">
        <v>4453</v>
      </c>
      <c r="D90" s="644" t="s">
        <v>4450</v>
      </c>
      <c r="E90" s="682">
        <v>34540</v>
      </c>
      <c r="F90" s="667"/>
      <c r="G90" s="667">
        <f t="shared" si="3"/>
        <v>0</v>
      </c>
      <c r="N90" s="638"/>
      <c r="O90" s="639"/>
    </row>
    <row r="91" spans="1:15" ht="12.75" hidden="1" x14ac:dyDescent="0.2">
      <c r="A91" s="668" t="s">
        <v>4241</v>
      </c>
      <c r="B91" s="644"/>
      <c r="C91" s="666" t="s">
        <v>4454</v>
      </c>
      <c r="D91" s="644" t="s">
        <v>4431</v>
      </c>
      <c r="E91" s="682">
        <v>31448</v>
      </c>
      <c r="F91" s="667"/>
      <c r="G91" s="667">
        <f t="shared" si="3"/>
        <v>0</v>
      </c>
      <c r="N91" s="638"/>
      <c r="O91" s="639"/>
    </row>
    <row r="92" spans="1:15" ht="12.75" hidden="1" x14ac:dyDescent="0.2">
      <c r="A92" s="668" t="s">
        <v>4241</v>
      </c>
      <c r="B92" s="644"/>
      <c r="C92" s="666" t="s">
        <v>4455</v>
      </c>
      <c r="D92" s="644" t="s">
        <v>4242</v>
      </c>
      <c r="E92" s="682">
        <v>26451</v>
      </c>
      <c r="F92" s="667"/>
      <c r="G92" s="667">
        <f t="shared" si="3"/>
        <v>0</v>
      </c>
      <c r="N92" s="638"/>
      <c r="O92" s="639"/>
    </row>
    <row r="93" spans="1:15" ht="12.75" x14ac:dyDescent="0.2">
      <c r="A93" s="668" t="s">
        <v>4457</v>
      </c>
      <c r="B93" s="644">
        <f>SUM(B81:B92)</f>
        <v>0</v>
      </c>
      <c r="C93" s="666"/>
      <c r="D93" s="644"/>
      <c r="E93" s="682"/>
      <c r="F93" s="644"/>
      <c r="G93" s="644">
        <f>SUM(G81:G92)</f>
        <v>0</v>
      </c>
      <c r="N93" s="638"/>
      <c r="O93" s="639"/>
    </row>
    <row r="94" spans="1:15" ht="12.75" hidden="1" x14ac:dyDescent="0.2">
      <c r="A94" s="648" t="s">
        <v>4458</v>
      </c>
      <c r="B94" s="644"/>
      <c r="C94" s="666" t="s">
        <v>4459</v>
      </c>
      <c r="D94" s="644"/>
      <c r="E94" s="682">
        <v>31053</v>
      </c>
      <c r="F94" s="667"/>
      <c r="G94" s="667">
        <f>ROUND((E94+F94)*B94,2)</f>
        <v>0</v>
      </c>
      <c r="N94" s="638"/>
      <c r="O94" s="639"/>
    </row>
    <row r="95" spans="1:15" ht="12.75" hidden="1" x14ac:dyDescent="0.2">
      <c r="A95" s="648" t="s">
        <v>4460</v>
      </c>
      <c r="B95" s="644"/>
      <c r="C95" s="666" t="s">
        <v>4461</v>
      </c>
      <c r="D95" s="644"/>
      <c r="E95" s="682">
        <v>29105</v>
      </c>
      <c r="F95" s="667"/>
      <c r="G95" s="667">
        <f>ROUND((E95+F95)*B95,2)</f>
        <v>0</v>
      </c>
      <c r="N95" s="638"/>
      <c r="O95" s="639"/>
    </row>
    <row r="96" spans="1:15" ht="12.75" x14ac:dyDescent="0.2">
      <c r="A96" s="648" t="s">
        <v>4243</v>
      </c>
      <c r="B96" s="644">
        <v>1</v>
      </c>
      <c r="C96" s="666" t="s">
        <v>4242</v>
      </c>
      <c r="D96" s="644"/>
      <c r="E96" s="682">
        <v>22098</v>
      </c>
      <c r="F96" s="667"/>
      <c r="G96" s="667">
        <f>ROUND((E96+F96)*B96,2)</f>
        <v>22098</v>
      </c>
      <c r="N96" s="638"/>
      <c r="O96" s="639"/>
    </row>
    <row r="97" spans="1:15" ht="12.75" hidden="1" x14ac:dyDescent="0.2">
      <c r="A97" s="685" t="s">
        <v>4244</v>
      </c>
      <c r="B97" s="644"/>
      <c r="C97" s="666">
        <v>2</v>
      </c>
      <c r="D97" s="644"/>
      <c r="E97" s="682"/>
      <c r="F97" s="667"/>
      <c r="G97" s="667">
        <f t="shared" si="3"/>
        <v>0</v>
      </c>
      <c r="N97" s="638"/>
      <c r="O97" s="639"/>
    </row>
    <row r="98" spans="1:15" ht="12.75" hidden="1" x14ac:dyDescent="0.2">
      <c r="A98" s="686" t="s">
        <v>4462</v>
      </c>
      <c r="B98" s="644"/>
      <c r="C98" s="666">
        <v>4</v>
      </c>
      <c r="D98" s="644"/>
      <c r="E98" s="682">
        <v>23519</v>
      </c>
      <c r="F98" s="667"/>
      <c r="G98" s="667">
        <f t="shared" si="3"/>
        <v>0</v>
      </c>
      <c r="N98" s="638"/>
      <c r="O98" s="639"/>
    </row>
    <row r="99" spans="1:15" ht="12.75" hidden="1" x14ac:dyDescent="0.2">
      <c r="A99" s="644" t="s">
        <v>4278</v>
      </c>
      <c r="B99" s="644"/>
      <c r="C99" s="666" t="s">
        <v>4463</v>
      </c>
      <c r="D99" s="644"/>
      <c r="E99" s="682"/>
      <c r="F99" s="667"/>
      <c r="G99" s="667">
        <f t="shared" si="3"/>
        <v>0</v>
      </c>
      <c r="N99" s="638"/>
      <c r="O99" s="639"/>
    </row>
    <row r="100" spans="1:15" ht="12.75" hidden="1" x14ac:dyDescent="0.2">
      <c r="A100" s="644" t="s">
        <v>4245</v>
      </c>
      <c r="B100" s="644"/>
      <c r="C100" s="666" t="s">
        <v>4464</v>
      </c>
      <c r="D100" s="644"/>
      <c r="E100" s="682">
        <v>11092</v>
      </c>
      <c r="F100" s="667"/>
      <c r="G100" s="667">
        <f t="shared" si="3"/>
        <v>0</v>
      </c>
      <c r="N100" s="638"/>
      <c r="O100" s="639"/>
    </row>
    <row r="101" spans="1:15" ht="12.75" x14ac:dyDescent="0.2">
      <c r="A101" s="644" t="s">
        <v>4245</v>
      </c>
      <c r="B101" s="644">
        <v>1</v>
      </c>
      <c r="C101" s="666" t="s">
        <v>4465</v>
      </c>
      <c r="D101" s="644"/>
      <c r="E101" s="682">
        <v>12128</v>
      </c>
      <c r="F101" s="667"/>
      <c r="G101" s="667">
        <f t="shared" si="3"/>
        <v>12128</v>
      </c>
      <c r="N101" s="638"/>
      <c r="O101" s="639"/>
    </row>
    <row r="102" spans="1:15" ht="19.5" hidden="1" customHeight="1" x14ac:dyDescent="0.2">
      <c r="A102" s="668" t="s">
        <v>4247</v>
      </c>
      <c r="B102" s="644"/>
      <c r="C102" s="666">
        <v>9</v>
      </c>
      <c r="D102" s="644"/>
      <c r="E102" s="667"/>
      <c r="F102" s="667"/>
      <c r="G102" s="667">
        <f t="shared" si="3"/>
        <v>0</v>
      </c>
      <c r="N102" s="638"/>
      <c r="O102" s="639"/>
    </row>
    <row r="103" spans="1:15" ht="19.5" hidden="1" customHeight="1" x14ac:dyDescent="0.2">
      <c r="A103" s="668" t="s">
        <v>4247</v>
      </c>
      <c r="B103" s="644"/>
      <c r="C103" s="666">
        <v>10</v>
      </c>
      <c r="D103" s="644"/>
      <c r="E103" s="667"/>
      <c r="F103" s="667"/>
      <c r="G103" s="667">
        <f t="shared" si="3"/>
        <v>0</v>
      </c>
      <c r="N103" s="638"/>
      <c r="O103" s="639"/>
    </row>
    <row r="104" spans="1:15" ht="12.75" x14ac:dyDescent="0.2">
      <c r="A104" s="668" t="s">
        <v>4466</v>
      </c>
      <c r="B104" s="644">
        <f>SUM(B94:B103)</f>
        <v>2</v>
      </c>
      <c r="C104" s="666"/>
      <c r="D104" s="644"/>
      <c r="E104" s="667"/>
      <c r="F104" s="667"/>
      <c r="G104" s="644">
        <f>SUM(G94:G103)</f>
        <v>34226</v>
      </c>
      <c r="N104" s="638"/>
      <c r="O104" s="639"/>
    </row>
    <row r="105" spans="1:15" ht="12.75" hidden="1" x14ac:dyDescent="0.2">
      <c r="A105" s="687" t="s">
        <v>4248</v>
      </c>
      <c r="B105" s="644"/>
      <c r="C105" s="666">
        <v>4</v>
      </c>
      <c r="D105" s="644"/>
      <c r="E105" s="667">
        <v>10200</v>
      </c>
      <c r="F105" s="667"/>
      <c r="G105" s="667">
        <f t="shared" si="3"/>
        <v>0</v>
      </c>
      <c r="N105" s="638"/>
      <c r="O105" s="639"/>
    </row>
    <row r="106" spans="1:15" ht="12.75" hidden="1" x14ac:dyDescent="0.2">
      <c r="A106" s="687" t="s">
        <v>4248</v>
      </c>
      <c r="B106" s="644"/>
      <c r="C106" s="666">
        <v>3</v>
      </c>
      <c r="D106" s="644"/>
      <c r="E106" s="667">
        <v>9753</v>
      </c>
      <c r="F106" s="667"/>
      <c r="G106" s="667">
        <f t="shared" si="3"/>
        <v>0</v>
      </c>
      <c r="N106" s="638"/>
      <c r="O106" s="639"/>
    </row>
    <row r="107" spans="1:15" ht="12.75" x14ac:dyDescent="0.2">
      <c r="A107" s="687" t="s">
        <v>4248</v>
      </c>
      <c r="B107" s="644">
        <v>2</v>
      </c>
      <c r="C107" s="666">
        <v>2</v>
      </c>
      <c r="D107" s="644"/>
      <c r="E107" s="667">
        <v>9289</v>
      </c>
      <c r="F107" s="667"/>
      <c r="G107" s="667">
        <f t="shared" si="3"/>
        <v>18578</v>
      </c>
      <c r="N107" s="638"/>
      <c r="O107" s="639"/>
    </row>
    <row r="108" spans="1:15" s="662" customFormat="1" ht="12.75" x14ac:dyDescent="0.2">
      <c r="A108" s="688" t="s">
        <v>4250</v>
      </c>
      <c r="B108" s="644">
        <v>1.25</v>
      </c>
      <c r="C108" s="666">
        <v>1</v>
      </c>
      <c r="D108" s="644"/>
      <c r="E108" s="667">
        <v>8923</v>
      </c>
      <c r="F108" s="667"/>
      <c r="G108" s="667">
        <f t="shared" si="3"/>
        <v>11153.75</v>
      </c>
      <c r="H108" s="638"/>
      <c r="I108" s="638"/>
      <c r="J108" s="638"/>
      <c r="K108" s="638"/>
      <c r="O108" s="689"/>
    </row>
    <row r="109" spans="1:15" s="662" customFormat="1" ht="12.75" x14ac:dyDescent="0.2">
      <c r="A109" s="688" t="s">
        <v>4252</v>
      </c>
      <c r="B109" s="644">
        <v>1</v>
      </c>
      <c r="C109" s="666">
        <v>1</v>
      </c>
      <c r="D109" s="644"/>
      <c r="E109" s="667">
        <v>8923</v>
      </c>
      <c r="F109" s="667"/>
      <c r="G109" s="667">
        <f t="shared" si="3"/>
        <v>8923</v>
      </c>
      <c r="H109" s="638"/>
      <c r="I109" s="638"/>
      <c r="J109" s="638"/>
      <c r="K109" s="638"/>
      <c r="O109" s="689"/>
    </row>
    <row r="110" spans="1:15" ht="17.25" customHeight="1" x14ac:dyDescent="0.2">
      <c r="A110" s="644" t="s">
        <v>4253</v>
      </c>
      <c r="B110" s="644">
        <v>5</v>
      </c>
      <c r="C110" s="666">
        <v>1</v>
      </c>
      <c r="D110" s="644"/>
      <c r="E110" s="667">
        <v>8923</v>
      </c>
      <c r="F110" s="667"/>
      <c r="G110" s="667">
        <f t="shared" si="3"/>
        <v>44615</v>
      </c>
      <c r="N110" s="638"/>
      <c r="O110" s="639"/>
    </row>
    <row r="111" spans="1:15" ht="18" customHeight="1" x14ac:dyDescent="0.2">
      <c r="A111" s="648" t="s">
        <v>4467</v>
      </c>
      <c r="B111" s="648">
        <f>SUM(B105:B110)</f>
        <v>9.25</v>
      </c>
      <c r="C111" s="690"/>
      <c r="D111" s="648"/>
      <c r="E111" s="691"/>
      <c r="F111" s="691"/>
      <c r="G111" s="648">
        <f>SUM(G105:G110)</f>
        <v>83269.75</v>
      </c>
      <c r="H111" s="638">
        <f>19000</f>
        <v>19000</v>
      </c>
      <c r="I111" s="638">
        <f>H111*B111</f>
        <v>175750</v>
      </c>
      <c r="N111" s="638"/>
      <c r="O111" s="639"/>
    </row>
    <row r="112" spans="1:15" ht="18" customHeight="1" x14ac:dyDescent="0.2">
      <c r="A112" s="648" t="s">
        <v>4468</v>
      </c>
      <c r="B112" s="692">
        <f>B111+B104+B76+B56+B80</f>
        <v>27</v>
      </c>
      <c r="C112" s="690"/>
      <c r="D112" s="648"/>
      <c r="E112" s="691"/>
      <c r="F112" s="691"/>
      <c r="G112" s="691">
        <f>G111+G104+G76+G56+G80</f>
        <v>695815.89</v>
      </c>
      <c r="N112" s="638"/>
      <c r="O112" s="639"/>
    </row>
    <row r="113" spans="1:57" ht="14.25" customHeight="1" x14ac:dyDescent="0.2">
      <c r="A113" s="693"/>
      <c r="B113" s="694"/>
      <c r="C113" s="695"/>
      <c r="D113" s="694"/>
      <c r="E113" s="696"/>
      <c r="F113" s="696"/>
      <c r="G113" s="696"/>
      <c r="H113" s="636"/>
      <c r="I113" s="662"/>
      <c r="J113" s="662"/>
      <c r="K113" s="662"/>
      <c r="N113" s="638"/>
      <c r="O113" s="639"/>
    </row>
    <row r="114" spans="1:57" ht="12.75" hidden="1" x14ac:dyDescent="0.2">
      <c r="A114" s="693"/>
      <c r="B114" s="694"/>
      <c r="C114" s="695"/>
      <c r="D114" s="694"/>
      <c r="E114" s="696"/>
      <c r="F114" s="696"/>
      <c r="G114" s="696"/>
      <c r="H114" s="636"/>
      <c r="I114" s="662"/>
      <c r="J114" s="662"/>
      <c r="K114" s="662"/>
      <c r="L114" s="662"/>
      <c r="M114" s="662"/>
      <c r="N114" s="662"/>
      <c r="O114" s="689"/>
      <c r="P114" s="662"/>
      <c r="Q114" s="662"/>
      <c r="R114" s="662"/>
      <c r="S114" s="662"/>
      <c r="T114" s="662"/>
      <c r="U114" s="662"/>
      <c r="V114" s="662"/>
      <c r="W114" s="693"/>
      <c r="X114" s="694"/>
      <c r="Y114" s="695"/>
      <c r="Z114" s="694"/>
      <c r="AA114" s="696"/>
      <c r="AB114" s="696"/>
      <c r="AC114" s="696"/>
      <c r="AD114" s="636"/>
      <c r="AE114" s="662"/>
      <c r="AF114" s="662"/>
      <c r="AG114" s="662"/>
      <c r="AH114" s="662"/>
      <c r="AI114" s="662"/>
      <c r="AJ114" s="662"/>
      <c r="AK114" s="662"/>
      <c r="AL114" s="662"/>
      <c r="AM114" s="662"/>
      <c r="AN114" s="662"/>
      <c r="AO114" s="662"/>
      <c r="AP114" s="662"/>
      <c r="AQ114" s="662"/>
      <c r="AR114" s="662"/>
      <c r="AS114" s="662"/>
      <c r="AT114" s="662"/>
      <c r="AU114" s="662"/>
      <c r="AV114" s="662"/>
      <c r="AW114" s="662"/>
      <c r="AX114" s="662"/>
      <c r="AY114" s="662"/>
      <c r="AZ114" s="662"/>
      <c r="BA114" s="662"/>
      <c r="BB114" s="662"/>
      <c r="BC114" s="662"/>
      <c r="BD114" s="662"/>
      <c r="BE114" s="662"/>
    </row>
    <row r="115" spans="1:57" ht="12.75" hidden="1" x14ac:dyDescent="0.2">
      <c r="A115" s="693"/>
      <c r="B115" s="694"/>
      <c r="C115" s="695"/>
      <c r="D115" s="694"/>
      <c r="E115" s="696"/>
      <c r="F115" s="696"/>
      <c r="G115" s="696"/>
      <c r="H115" s="636"/>
      <c r="I115" s="662"/>
      <c r="J115" s="662"/>
      <c r="K115" s="662"/>
      <c r="L115" s="662"/>
      <c r="M115" s="662"/>
      <c r="N115" s="662"/>
    </row>
    <row r="116" spans="1:57" ht="12.75" customHeight="1" x14ac:dyDescent="0.2">
      <c r="A116" s="697" t="s">
        <v>4469</v>
      </c>
      <c r="B116" s="698"/>
      <c r="C116" s="699" t="s">
        <v>4470</v>
      </c>
      <c r="D116" s="700"/>
      <c r="E116" s="700"/>
      <c r="F116" s="700"/>
      <c r="G116" s="700"/>
      <c r="H116" s="700"/>
      <c r="I116" s="700"/>
      <c r="J116" s="700"/>
      <c r="K116" s="700"/>
      <c r="L116" s="700"/>
      <c r="M116" s="817" t="s">
        <v>4471</v>
      </c>
      <c r="N116" s="820" t="s">
        <v>4614</v>
      </c>
    </row>
    <row r="117" spans="1:57" ht="12.75" x14ac:dyDescent="0.2">
      <c r="A117" s="701"/>
      <c r="B117" s="701" t="s">
        <v>4212</v>
      </c>
      <c r="C117" s="813" t="s">
        <v>4472</v>
      </c>
      <c r="D117" s="816"/>
      <c r="E117" s="816"/>
      <c r="F117" s="814"/>
      <c r="G117" s="813" t="s">
        <v>4473</v>
      </c>
      <c r="H117" s="816"/>
      <c r="I117" s="816"/>
      <c r="J117" s="814"/>
      <c r="K117" s="699" t="s">
        <v>4474</v>
      </c>
      <c r="L117" s="702"/>
      <c r="M117" s="818"/>
      <c r="N117" s="818"/>
    </row>
    <row r="118" spans="1:57" ht="18" customHeight="1" x14ac:dyDescent="0.2">
      <c r="A118" s="703"/>
      <c r="B118" s="703"/>
      <c r="C118" s="813" t="s">
        <v>4470</v>
      </c>
      <c r="D118" s="816"/>
      <c r="E118" s="814"/>
      <c r="F118" s="666" t="s">
        <v>4475</v>
      </c>
      <c r="G118" s="813" t="s">
        <v>4470</v>
      </c>
      <c r="H118" s="816"/>
      <c r="I118" s="814"/>
      <c r="J118" s="666" t="s">
        <v>4475</v>
      </c>
      <c r="K118" s="666" t="s">
        <v>4476</v>
      </c>
      <c r="L118" s="704" t="s">
        <v>4475</v>
      </c>
      <c r="M118" s="819"/>
      <c r="N118" s="819"/>
    </row>
    <row r="119" spans="1:57" s="664" customFormat="1" ht="42" customHeight="1" x14ac:dyDescent="0.2">
      <c r="A119" s="705"/>
      <c r="B119" s="705"/>
      <c r="C119" s="663"/>
      <c r="D119" s="663" t="s">
        <v>4477</v>
      </c>
      <c r="E119" s="663" t="s">
        <v>4478</v>
      </c>
      <c r="F119" s="663"/>
      <c r="G119" s="663"/>
      <c r="H119" s="663" t="s">
        <v>4477</v>
      </c>
      <c r="I119" s="663" t="s">
        <v>4478</v>
      </c>
      <c r="J119" s="663"/>
      <c r="K119" s="663"/>
      <c r="L119" s="706"/>
      <c r="M119" s="707"/>
      <c r="N119" s="707"/>
    </row>
    <row r="120" spans="1:57" ht="12.75" x14ac:dyDescent="0.2">
      <c r="A120" s="708" t="s">
        <v>4479</v>
      </c>
      <c r="B120" s="703"/>
      <c r="C120" s="682">
        <f>SUM(C121:C139)</f>
        <v>112</v>
      </c>
      <c r="D120" s="682">
        <f t="shared" ref="D120:M120" si="4">SUM(D121:D139)</f>
        <v>16</v>
      </c>
      <c r="E120" s="682">
        <f t="shared" si="4"/>
        <v>0</v>
      </c>
      <c r="F120" s="682">
        <f t="shared" si="4"/>
        <v>192373.61</v>
      </c>
      <c r="G120" s="682">
        <f>SUM(G121:G139)</f>
        <v>40</v>
      </c>
      <c r="H120" s="682">
        <f t="shared" si="4"/>
        <v>4</v>
      </c>
      <c r="I120" s="682">
        <f t="shared" si="4"/>
        <v>0</v>
      </c>
      <c r="J120" s="682">
        <f t="shared" si="4"/>
        <v>68830.960000000006</v>
      </c>
      <c r="K120" s="682">
        <f t="shared" si="4"/>
        <v>8.4444444444444446</v>
      </c>
      <c r="L120" s="682">
        <f t="shared" si="4"/>
        <v>261204.57</v>
      </c>
      <c r="M120" s="682">
        <f t="shared" si="4"/>
        <v>65301.149999999994</v>
      </c>
      <c r="N120" s="682"/>
    </row>
    <row r="121" spans="1:57" ht="13.5" hidden="1" customHeight="1" x14ac:dyDescent="0.2">
      <c r="A121" s="709"/>
      <c r="B121" s="667"/>
      <c r="C121" s="682"/>
      <c r="D121" s="682"/>
      <c r="E121" s="682"/>
      <c r="F121" s="682">
        <f>ROUND($B121/18*C121+$B121/18*D121*0.1+$B121/18*E121*0.2,2)</f>
        <v>0</v>
      </c>
      <c r="G121" s="682"/>
      <c r="H121" s="682"/>
      <c r="I121" s="682"/>
      <c r="J121" s="682">
        <f>ROUND($B121/18*G121+$B121/18*H121*0.1+$B121/18*I121*0.2,2)</f>
        <v>0</v>
      </c>
      <c r="K121" s="667">
        <f>C121/18+G121/18</f>
        <v>0</v>
      </c>
      <c r="L121" s="667">
        <f>ROUND(F121+J121,2)</f>
        <v>0</v>
      </c>
      <c r="M121" s="682">
        <f>ROUND(L121*0.25,2)</f>
        <v>0</v>
      </c>
      <c r="N121" s="682"/>
      <c r="O121" s="710"/>
    </row>
    <row r="122" spans="1:57" ht="13.5" hidden="1" customHeight="1" x14ac:dyDescent="0.2">
      <c r="A122" s="709"/>
      <c r="B122" s="667"/>
      <c r="C122" s="682"/>
      <c r="D122" s="682"/>
      <c r="E122" s="682"/>
      <c r="F122" s="682">
        <f t="shared" ref="F122:F139" si="5">ROUND($B122/18*C122+$B122/18*D122*0.1+$B122/18*E122*0.2,2)</f>
        <v>0</v>
      </c>
      <c r="G122" s="682"/>
      <c r="H122" s="682"/>
      <c r="I122" s="682"/>
      <c r="J122" s="682">
        <f t="shared" ref="J122:J137" si="6">ROUND($B122/18*G122+$B122/18*H122*0.1+$B122/18*I122*0.2,2)</f>
        <v>0</v>
      </c>
      <c r="K122" s="667">
        <f t="shared" ref="K122:K137" si="7">C122/18+G122/18</f>
        <v>0</v>
      </c>
      <c r="L122" s="667">
        <f t="shared" ref="L122:L179" si="8">ROUND(F122+J122,2)</f>
        <v>0</v>
      </c>
      <c r="M122" s="682">
        <f t="shared" ref="M122:M139" si="9">ROUND(L122*0.25,2)</f>
        <v>0</v>
      </c>
      <c r="N122" s="682"/>
      <c r="O122" s="710"/>
    </row>
    <row r="123" spans="1:57" ht="13.5" hidden="1" customHeight="1" x14ac:dyDescent="0.2">
      <c r="A123" s="709"/>
      <c r="B123" s="667"/>
      <c r="C123" s="682"/>
      <c r="D123" s="682"/>
      <c r="E123" s="682"/>
      <c r="F123" s="682">
        <f t="shared" si="5"/>
        <v>0</v>
      </c>
      <c r="G123" s="682"/>
      <c r="H123" s="682"/>
      <c r="I123" s="682"/>
      <c r="J123" s="682">
        <f t="shared" si="6"/>
        <v>0</v>
      </c>
      <c r="K123" s="667">
        <f t="shared" si="7"/>
        <v>0</v>
      </c>
      <c r="L123" s="667">
        <f t="shared" si="8"/>
        <v>0</v>
      </c>
      <c r="M123" s="682">
        <f t="shared" si="9"/>
        <v>0</v>
      </c>
      <c r="N123" s="682"/>
      <c r="O123" s="710"/>
    </row>
    <row r="124" spans="1:57" ht="13.5" hidden="1" customHeight="1" x14ac:dyDescent="0.2">
      <c r="A124" s="709"/>
      <c r="B124" s="667"/>
      <c r="C124" s="682"/>
      <c r="D124" s="682"/>
      <c r="E124" s="682"/>
      <c r="F124" s="682">
        <f t="shared" si="5"/>
        <v>0</v>
      </c>
      <c r="G124" s="682"/>
      <c r="H124" s="682"/>
      <c r="I124" s="682"/>
      <c r="J124" s="682">
        <f t="shared" si="6"/>
        <v>0</v>
      </c>
      <c r="K124" s="667">
        <f t="shared" si="7"/>
        <v>0</v>
      </c>
      <c r="L124" s="667">
        <f t="shared" si="8"/>
        <v>0</v>
      </c>
      <c r="M124" s="682">
        <f t="shared" si="9"/>
        <v>0</v>
      </c>
      <c r="N124" s="682"/>
      <c r="O124" s="710"/>
    </row>
    <row r="125" spans="1:57" ht="13.5" hidden="1" customHeight="1" x14ac:dyDescent="0.2">
      <c r="A125" s="709"/>
      <c r="B125" s="667"/>
      <c r="C125" s="682"/>
      <c r="D125" s="682"/>
      <c r="E125" s="682"/>
      <c r="F125" s="682">
        <f t="shared" si="5"/>
        <v>0</v>
      </c>
      <c r="G125" s="711"/>
      <c r="H125" s="682"/>
      <c r="I125" s="682"/>
      <c r="J125" s="682">
        <f t="shared" si="6"/>
        <v>0</v>
      </c>
      <c r="K125" s="667">
        <f t="shared" si="7"/>
        <v>0</v>
      </c>
      <c r="L125" s="667">
        <f t="shared" si="8"/>
        <v>0</v>
      </c>
      <c r="M125" s="682">
        <f t="shared" si="9"/>
        <v>0</v>
      </c>
      <c r="N125" s="682"/>
      <c r="O125" s="710"/>
    </row>
    <row r="126" spans="1:57" ht="12.75" hidden="1" x14ac:dyDescent="0.2">
      <c r="A126" s="708"/>
      <c r="B126" s="667"/>
      <c r="C126" s="682"/>
      <c r="D126" s="682"/>
      <c r="E126" s="682"/>
      <c r="F126" s="682">
        <f t="shared" si="5"/>
        <v>0</v>
      </c>
      <c r="G126" s="682"/>
      <c r="H126" s="682"/>
      <c r="I126" s="682"/>
      <c r="J126" s="682">
        <f t="shared" si="6"/>
        <v>0</v>
      </c>
      <c r="K126" s="667">
        <f t="shared" si="7"/>
        <v>0</v>
      </c>
      <c r="L126" s="667">
        <f t="shared" si="8"/>
        <v>0</v>
      </c>
      <c r="M126" s="682">
        <f t="shared" si="9"/>
        <v>0</v>
      </c>
      <c r="N126" s="682"/>
      <c r="O126" s="710"/>
    </row>
    <row r="127" spans="1:57" ht="15" hidden="1" customHeight="1" x14ac:dyDescent="0.2">
      <c r="A127" s="709"/>
      <c r="B127" s="667"/>
      <c r="C127" s="682"/>
      <c r="D127" s="682"/>
      <c r="E127" s="682"/>
      <c r="F127" s="682">
        <f t="shared" si="5"/>
        <v>0</v>
      </c>
      <c r="G127" s="682"/>
      <c r="H127" s="682"/>
      <c r="I127" s="682"/>
      <c r="J127" s="682">
        <f t="shared" si="6"/>
        <v>0</v>
      </c>
      <c r="K127" s="667">
        <f t="shared" si="7"/>
        <v>0</v>
      </c>
      <c r="L127" s="667">
        <f t="shared" si="8"/>
        <v>0</v>
      </c>
      <c r="M127" s="682">
        <f t="shared" si="9"/>
        <v>0</v>
      </c>
      <c r="N127" s="682"/>
      <c r="O127" s="710"/>
    </row>
    <row r="128" spans="1:57" ht="15" hidden="1" customHeight="1" x14ac:dyDescent="0.2">
      <c r="A128" s="709"/>
      <c r="B128" s="667"/>
      <c r="C128" s="682"/>
      <c r="D128" s="682"/>
      <c r="E128" s="682"/>
      <c r="F128" s="682">
        <f t="shared" si="5"/>
        <v>0</v>
      </c>
      <c r="G128" s="682"/>
      <c r="H128" s="682"/>
      <c r="I128" s="682"/>
      <c r="J128" s="682">
        <f t="shared" si="6"/>
        <v>0</v>
      </c>
      <c r="K128" s="667">
        <f t="shared" si="7"/>
        <v>0</v>
      </c>
      <c r="L128" s="667">
        <f t="shared" si="8"/>
        <v>0</v>
      </c>
      <c r="M128" s="682">
        <f t="shared" si="9"/>
        <v>0</v>
      </c>
      <c r="N128" s="682"/>
      <c r="O128" s="710"/>
    </row>
    <row r="129" spans="1:15" ht="15" hidden="1" customHeight="1" x14ac:dyDescent="0.2">
      <c r="A129" s="709"/>
      <c r="B129" s="667"/>
      <c r="C129" s="682"/>
      <c r="D129" s="682"/>
      <c r="E129" s="682"/>
      <c r="F129" s="682">
        <f t="shared" si="5"/>
        <v>0</v>
      </c>
      <c r="G129" s="682"/>
      <c r="H129" s="682"/>
      <c r="I129" s="682"/>
      <c r="J129" s="682">
        <f t="shared" si="6"/>
        <v>0</v>
      </c>
      <c r="K129" s="667">
        <f t="shared" si="7"/>
        <v>0</v>
      </c>
      <c r="L129" s="667">
        <f t="shared" si="8"/>
        <v>0</v>
      </c>
      <c r="M129" s="682">
        <f t="shared" si="9"/>
        <v>0</v>
      </c>
      <c r="N129" s="682"/>
      <c r="O129" s="710"/>
    </row>
    <row r="130" spans="1:15" ht="15" hidden="1" customHeight="1" x14ac:dyDescent="0.2">
      <c r="A130" s="709"/>
      <c r="B130" s="667"/>
      <c r="C130" s="682"/>
      <c r="D130" s="682"/>
      <c r="E130" s="682"/>
      <c r="F130" s="682">
        <f t="shared" si="5"/>
        <v>0</v>
      </c>
      <c r="G130" s="682"/>
      <c r="H130" s="682"/>
      <c r="I130" s="682"/>
      <c r="J130" s="682">
        <f t="shared" si="6"/>
        <v>0</v>
      </c>
      <c r="K130" s="667">
        <f t="shared" si="7"/>
        <v>0</v>
      </c>
      <c r="L130" s="667">
        <f t="shared" si="8"/>
        <v>0</v>
      </c>
      <c r="M130" s="682">
        <f t="shared" si="9"/>
        <v>0</v>
      </c>
      <c r="N130" s="682"/>
      <c r="O130" s="710"/>
    </row>
    <row r="131" spans="1:15" ht="15" hidden="1" customHeight="1" x14ac:dyDescent="0.2">
      <c r="A131" s="709"/>
      <c r="B131" s="667"/>
      <c r="C131" s="682"/>
      <c r="D131" s="682"/>
      <c r="E131" s="682"/>
      <c r="F131" s="682">
        <f t="shared" si="5"/>
        <v>0</v>
      </c>
      <c r="G131" s="682"/>
      <c r="H131" s="682"/>
      <c r="I131" s="682"/>
      <c r="J131" s="682">
        <f t="shared" si="6"/>
        <v>0</v>
      </c>
      <c r="K131" s="667">
        <f t="shared" si="7"/>
        <v>0</v>
      </c>
      <c r="L131" s="667">
        <f t="shared" si="8"/>
        <v>0</v>
      </c>
      <c r="M131" s="682">
        <f t="shared" si="9"/>
        <v>0</v>
      </c>
      <c r="N131" s="682"/>
      <c r="O131" s="710"/>
    </row>
    <row r="132" spans="1:15" ht="15" hidden="1" customHeight="1" x14ac:dyDescent="0.2">
      <c r="A132" s="708"/>
      <c r="B132" s="667"/>
      <c r="C132" s="682"/>
      <c r="D132" s="682"/>
      <c r="E132" s="682"/>
      <c r="F132" s="682">
        <f t="shared" si="5"/>
        <v>0</v>
      </c>
      <c r="G132" s="682"/>
      <c r="H132" s="682"/>
      <c r="I132" s="682"/>
      <c r="J132" s="682">
        <f t="shared" si="6"/>
        <v>0</v>
      </c>
      <c r="K132" s="667">
        <f t="shared" si="7"/>
        <v>0</v>
      </c>
      <c r="L132" s="667">
        <f t="shared" si="8"/>
        <v>0</v>
      </c>
      <c r="M132" s="682">
        <f t="shared" si="9"/>
        <v>0</v>
      </c>
      <c r="N132" s="682"/>
      <c r="O132" s="710"/>
    </row>
    <row r="133" spans="1:15" ht="12.75" hidden="1" x14ac:dyDescent="0.2">
      <c r="A133" s="644"/>
      <c r="B133" s="667"/>
      <c r="C133" s="682"/>
      <c r="D133" s="682"/>
      <c r="E133" s="682"/>
      <c r="F133" s="682">
        <f t="shared" si="5"/>
        <v>0</v>
      </c>
      <c r="G133" s="682"/>
      <c r="H133" s="682"/>
      <c r="I133" s="682"/>
      <c r="J133" s="682">
        <f t="shared" si="6"/>
        <v>0</v>
      </c>
      <c r="K133" s="667">
        <f t="shared" si="7"/>
        <v>0</v>
      </c>
      <c r="L133" s="667">
        <f t="shared" si="8"/>
        <v>0</v>
      </c>
      <c r="M133" s="682">
        <f t="shared" si="9"/>
        <v>0</v>
      </c>
      <c r="N133" s="682"/>
      <c r="O133" s="710"/>
    </row>
    <row r="134" spans="1:15" ht="12.75" hidden="1" x14ac:dyDescent="0.2">
      <c r="A134" s="644"/>
      <c r="B134" s="667"/>
      <c r="C134" s="682"/>
      <c r="D134" s="682"/>
      <c r="E134" s="682"/>
      <c r="F134" s="682">
        <f t="shared" si="5"/>
        <v>0</v>
      </c>
      <c r="G134" s="682">
        <v>0</v>
      </c>
      <c r="H134" s="682"/>
      <c r="I134" s="682"/>
      <c r="J134" s="682">
        <f t="shared" si="6"/>
        <v>0</v>
      </c>
      <c r="K134" s="667">
        <f t="shared" si="7"/>
        <v>0</v>
      </c>
      <c r="L134" s="667">
        <f t="shared" si="8"/>
        <v>0</v>
      </c>
      <c r="M134" s="682">
        <f t="shared" si="9"/>
        <v>0</v>
      </c>
      <c r="N134" s="682"/>
      <c r="O134" s="710"/>
    </row>
    <row r="135" spans="1:15" ht="12.75" hidden="1" x14ac:dyDescent="0.2">
      <c r="A135" s="644"/>
      <c r="B135" s="667"/>
      <c r="C135" s="682"/>
      <c r="D135" s="682"/>
      <c r="E135" s="682"/>
      <c r="F135" s="682">
        <f t="shared" si="5"/>
        <v>0</v>
      </c>
      <c r="G135" s="682">
        <v>0</v>
      </c>
      <c r="H135" s="682"/>
      <c r="I135" s="682"/>
      <c r="J135" s="682">
        <f t="shared" si="6"/>
        <v>0</v>
      </c>
      <c r="K135" s="667">
        <f t="shared" si="7"/>
        <v>0</v>
      </c>
      <c r="L135" s="667">
        <f t="shared" si="8"/>
        <v>0</v>
      </c>
      <c r="M135" s="682">
        <f t="shared" si="9"/>
        <v>0</v>
      </c>
      <c r="N135" s="682"/>
      <c r="O135" s="710"/>
    </row>
    <row r="136" spans="1:15" ht="12.75" hidden="1" x14ac:dyDescent="0.2">
      <c r="A136" s="644"/>
      <c r="B136" s="667"/>
      <c r="C136" s="682"/>
      <c r="D136" s="682"/>
      <c r="E136" s="682"/>
      <c r="F136" s="682">
        <f t="shared" si="5"/>
        <v>0</v>
      </c>
      <c r="G136" s="682">
        <v>0</v>
      </c>
      <c r="H136" s="682"/>
      <c r="I136" s="682"/>
      <c r="J136" s="682">
        <f t="shared" si="6"/>
        <v>0</v>
      </c>
      <c r="K136" s="667">
        <f t="shared" si="7"/>
        <v>0</v>
      </c>
      <c r="L136" s="667">
        <f t="shared" si="8"/>
        <v>0</v>
      </c>
      <c r="M136" s="682">
        <f t="shared" si="9"/>
        <v>0</v>
      </c>
      <c r="N136" s="682"/>
      <c r="O136" s="710"/>
    </row>
    <row r="137" spans="1:15" ht="12.75" x14ac:dyDescent="0.2">
      <c r="A137" s="644" t="s">
        <v>4242</v>
      </c>
      <c r="B137" s="712">
        <v>26517</v>
      </c>
      <c r="C137" s="682">
        <v>4</v>
      </c>
      <c r="D137" s="682"/>
      <c r="E137" s="682"/>
      <c r="F137" s="682">
        <f t="shared" si="5"/>
        <v>5892.67</v>
      </c>
      <c r="G137" s="682"/>
      <c r="H137" s="682"/>
      <c r="I137" s="682"/>
      <c r="J137" s="682">
        <f t="shared" si="6"/>
        <v>0</v>
      </c>
      <c r="K137" s="667">
        <f t="shared" si="7"/>
        <v>0.22222222222222221</v>
      </c>
      <c r="L137" s="667">
        <f t="shared" si="8"/>
        <v>5892.67</v>
      </c>
      <c r="M137" s="682">
        <f t="shared" si="9"/>
        <v>1473.17</v>
      </c>
      <c r="N137" s="682"/>
      <c r="O137" s="710"/>
    </row>
    <row r="138" spans="1:15" ht="12.75" x14ac:dyDescent="0.2">
      <c r="A138" s="644" t="s">
        <v>4450</v>
      </c>
      <c r="B138" s="712">
        <v>29105</v>
      </c>
      <c r="C138" s="682">
        <v>24</v>
      </c>
      <c r="D138" s="682"/>
      <c r="E138" s="682"/>
      <c r="F138" s="682">
        <f>ROUND($B138/18*C138+$B138/18*D138*0.1+$B138/18*E138*0.2,2)</f>
        <v>38806.67</v>
      </c>
      <c r="G138" s="682">
        <v>8</v>
      </c>
      <c r="H138" s="682"/>
      <c r="I138" s="682"/>
      <c r="J138" s="682">
        <f>ROUND($B138/18*G138+$B138/18*H138*0.1+$B138/18*I138*0.2,2)</f>
        <v>12935.56</v>
      </c>
      <c r="K138" s="667">
        <f>C138/18+G138/18</f>
        <v>1.7777777777777777</v>
      </c>
      <c r="L138" s="667">
        <f t="shared" si="8"/>
        <v>51742.23</v>
      </c>
      <c r="M138" s="682">
        <f t="shared" si="9"/>
        <v>12935.56</v>
      </c>
      <c r="N138" s="682"/>
      <c r="O138" s="710"/>
    </row>
    <row r="139" spans="1:15" ht="12.75" x14ac:dyDescent="0.2">
      <c r="A139" s="644" t="s">
        <v>4429</v>
      </c>
      <c r="B139" s="712">
        <v>31053</v>
      </c>
      <c r="C139" s="682">
        <v>84</v>
      </c>
      <c r="D139" s="682">
        <v>16</v>
      </c>
      <c r="E139" s="682"/>
      <c r="F139" s="682">
        <f t="shared" si="5"/>
        <v>147674.26999999999</v>
      </c>
      <c r="G139" s="682">
        <v>32</v>
      </c>
      <c r="H139" s="682">
        <v>4</v>
      </c>
      <c r="I139" s="682"/>
      <c r="J139" s="682">
        <f>ROUND($B139/18*G139+$B139/18*H139*0.1+$B139/18*I139*0.2,2)</f>
        <v>55895.4</v>
      </c>
      <c r="K139" s="667">
        <f>C139/18+G139/18</f>
        <v>6.4444444444444446</v>
      </c>
      <c r="L139" s="667">
        <f t="shared" si="8"/>
        <v>203569.67</v>
      </c>
      <c r="M139" s="682">
        <f t="shared" si="9"/>
        <v>50892.42</v>
      </c>
      <c r="N139" s="682"/>
      <c r="O139" s="710"/>
    </row>
    <row r="140" spans="1:15" ht="12.75" x14ac:dyDescent="0.2">
      <c r="A140" s="713" t="s">
        <v>4480</v>
      </c>
      <c r="B140" s="712"/>
      <c r="C140" s="682">
        <f>SUM(C141:C159)</f>
        <v>529.5</v>
      </c>
      <c r="D140" s="682">
        <f t="shared" ref="D140:M140" si="10">SUM(D141:D159)</f>
        <v>69</v>
      </c>
      <c r="E140" s="682">
        <f t="shared" si="10"/>
        <v>0</v>
      </c>
      <c r="F140" s="682">
        <f t="shared" si="10"/>
        <v>918456.28999999992</v>
      </c>
      <c r="G140" s="682">
        <f>SUM(G141:G159)</f>
        <v>0</v>
      </c>
      <c r="H140" s="682">
        <f t="shared" si="10"/>
        <v>0</v>
      </c>
      <c r="I140" s="682">
        <f t="shared" si="10"/>
        <v>0</v>
      </c>
      <c r="J140" s="682">
        <f t="shared" si="10"/>
        <v>0</v>
      </c>
      <c r="K140" s="682">
        <f t="shared" si="10"/>
        <v>29.416666666666668</v>
      </c>
      <c r="L140" s="682">
        <f t="shared" si="10"/>
        <v>918456.28999999992</v>
      </c>
      <c r="M140" s="682">
        <f t="shared" si="10"/>
        <v>229614.07249999998</v>
      </c>
      <c r="N140" s="682"/>
    </row>
    <row r="141" spans="1:15" ht="12.75" hidden="1" x14ac:dyDescent="0.2">
      <c r="A141" s="709"/>
      <c r="B141" s="712"/>
      <c r="C141" s="682"/>
      <c r="D141" s="682"/>
      <c r="E141" s="682"/>
      <c r="F141" s="682">
        <f>ROUND($B141/18*C141+$B141/18*D141*0.1+$B141/18*E141*0.2,2)</f>
        <v>0</v>
      </c>
      <c r="G141" s="682"/>
      <c r="H141" s="682"/>
      <c r="I141" s="682"/>
      <c r="J141" s="682">
        <f>ROUND($B141/18*G141+$B141/18*H141*0.1+$B141/18*I141*0.2,2)</f>
        <v>0</v>
      </c>
      <c r="K141" s="667">
        <f>C141/18+G141/18</f>
        <v>0</v>
      </c>
      <c r="L141" s="667">
        <f t="shared" si="8"/>
        <v>0</v>
      </c>
      <c r="M141" s="682">
        <f>L141*0.25</f>
        <v>0</v>
      </c>
      <c r="N141" s="682"/>
    </row>
    <row r="142" spans="1:15" ht="12.75" hidden="1" x14ac:dyDescent="0.2">
      <c r="A142" s="709"/>
      <c r="B142" s="712"/>
      <c r="C142" s="682"/>
      <c r="D142" s="682"/>
      <c r="E142" s="682"/>
      <c r="F142" s="682">
        <f t="shared" ref="F142:F159" si="11">ROUND($B142/18*C142+$B142/18*D142*0.1+$B142/18*E142*0.2,2)</f>
        <v>0</v>
      </c>
      <c r="G142" s="682"/>
      <c r="H142" s="682"/>
      <c r="I142" s="682"/>
      <c r="J142" s="682">
        <f t="shared" ref="J142:J159" si="12">ROUND($B142/18*G142+$B142/18*H142*0.1+$B142/18*I142*0.2,2)</f>
        <v>0</v>
      </c>
      <c r="K142" s="667">
        <f t="shared" ref="K142:K159" si="13">C142/18+G142/18</f>
        <v>0</v>
      </c>
      <c r="L142" s="667">
        <f t="shared" si="8"/>
        <v>0</v>
      </c>
      <c r="M142" s="682">
        <f t="shared" ref="M142:M159" si="14">L142*0.25</f>
        <v>0</v>
      </c>
      <c r="N142" s="682"/>
    </row>
    <row r="143" spans="1:15" ht="12.75" hidden="1" x14ac:dyDescent="0.2">
      <c r="A143" s="709"/>
      <c r="B143" s="712"/>
      <c r="C143" s="682"/>
      <c r="D143" s="682"/>
      <c r="E143" s="682"/>
      <c r="F143" s="682">
        <f t="shared" si="11"/>
        <v>0</v>
      </c>
      <c r="G143" s="682"/>
      <c r="H143" s="682"/>
      <c r="I143" s="682"/>
      <c r="J143" s="682">
        <f t="shared" si="12"/>
        <v>0</v>
      </c>
      <c r="K143" s="667">
        <f t="shared" si="13"/>
        <v>0</v>
      </c>
      <c r="L143" s="667">
        <f t="shared" si="8"/>
        <v>0</v>
      </c>
      <c r="M143" s="682">
        <f t="shared" si="14"/>
        <v>0</v>
      </c>
      <c r="N143" s="682"/>
    </row>
    <row r="144" spans="1:15" ht="12.75" hidden="1" x14ac:dyDescent="0.2">
      <c r="A144" s="709"/>
      <c r="B144" s="712"/>
      <c r="C144" s="682"/>
      <c r="D144" s="682"/>
      <c r="E144" s="682"/>
      <c r="F144" s="682">
        <f t="shared" si="11"/>
        <v>0</v>
      </c>
      <c r="G144" s="682"/>
      <c r="H144" s="682"/>
      <c r="I144" s="682"/>
      <c r="J144" s="682">
        <f t="shared" si="12"/>
        <v>0</v>
      </c>
      <c r="K144" s="667">
        <f t="shared" si="13"/>
        <v>0</v>
      </c>
      <c r="L144" s="667">
        <f t="shared" si="8"/>
        <v>0</v>
      </c>
      <c r="M144" s="682">
        <f t="shared" si="14"/>
        <v>0</v>
      </c>
      <c r="N144" s="682"/>
    </row>
    <row r="145" spans="1:14" ht="12.75" hidden="1" x14ac:dyDescent="0.2">
      <c r="A145" s="709"/>
      <c r="B145" s="712"/>
      <c r="C145" s="682"/>
      <c r="D145" s="682"/>
      <c r="E145" s="682"/>
      <c r="F145" s="682">
        <f t="shared" si="11"/>
        <v>0</v>
      </c>
      <c r="G145" s="682"/>
      <c r="H145" s="682"/>
      <c r="I145" s="682"/>
      <c r="J145" s="682">
        <f t="shared" si="12"/>
        <v>0</v>
      </c>
      <c r="K145" s="667">
        <f t="shared" si="13"/>
        <v>0</v>
      </c>
      <c r="L145" s="667">
        <f t="shared" si="8"/>
        <v>0</v>
      </c>
      <c r="M145" s="682">
        <f t="shared" si="14"/>
        <v>0</v>
      </c>
      <c r="N145" s="682"/>
    </row>
    <row r="146" spans="1:14" ht="12.75" hidden="1" x14ac:dyDescent="0.2">
      <c r="A146" s="708"/>
      <c r="B146" s="712"/>
      <c r="C146" s="682"/>
      <c r="D146" s="682"/>
      <c r="E146" s="682"/>
      <c r="F146" s="682">
        <f t="shared" si="11"/>
        <v>0</v>
      </c>
      <c r="G146" s="682"/>
      <c r="H146" s="682"/>
      <c r="I146" s="682"/>
      <c r="J146" s="682">
        <f t="shared" si="12"/>
        <v>0</v>
      </c>
      <c r="K146" s="667">
        <f t="shared" si="13"/>
        <v>0</v>
      </c>
      <c r="L146" s="667">
        <f t="shared" si="8"/>
        <v>0</v>
      </c>
      <c r="M146" s="682">
        <f t="shared" si="14"/>
        <v>0</v>
      </c>
      <c r="N146" s="682"/>
    </row>
    <row r="147" spans="1:14" ht="12.75" hidden="1" x14ac:dyDescent="0.2">
      <c r="A147" s="709"/>
      <c r="B147" s="667"/>
      <c r="C147" s="682"/>
      <c r="D147" s="682"/>
      <c r="E147" s="682"/>
      <c r="F147" s="682">
        <f t="shared" si="11"/>
        <v>0</v>
      </c>
      <c r="G147" s="682"/>
      <c r="H147" s="682"/>
      <c r="I147" s="682"/>
      <c r="J147" s="682">
        <f t="shared" si="12"/>
        <v>0</v>
      </c>
      <c r="K147" s="667">
        <f t="shared" si="13"/>
        <v>0</v>
      </c>
      <c r="L147" s="667">
        <f t="shared" si="8"/>
        <v>0</v>
      </c>
      <c r="M147" s="682">
        <f t="shared" si="14"/>
        <v>0</v>
      </c>
      <c r="N147" s="682"/>
    </row>
    <row r="148" spans="1:14" ht="12.75" hidden="1" x14ac:dyDescent="0.2">
      <c r="A148" s="709"/>
      <c r="B148" s="667"/>
      <c r="C148" s="682"/>
      <c r="D148" s="682"/>
      <c r="E148" s="682"/>
      <c r="F148" s="682">
        <f t="shared" si="11"/>
        <v>0</v>
      </c>
      <c r="G148" s="682"/>
      <c r="H148" s="682"/>
      <c r="I148" s="682"/>
      <c r="J148" s="682">
        <f t="shared" si="12"/>
        <v>0</v>
      </c>
      <c r="K148" s="667">
        <f t="shared" si="13"/>
        <v>0</v>
      </c>
      <c r="L148" s="667">
        <f t="shared" si="8"/>
        <v>0</v>
      </c>
      <c r="M148" s="682">
        <f t="shared" si="14"/>
        <v>0</v>
      </c>
      <c r="N148" s="682"/>
    </row>
    <row r="149" spans="1:14" ht="12.75" hidden="1" x14ac:dyDescent="0.2">
      <c r="A149" s="709"/>
      <c r="B149" s="667"/>
      <c r="C149" s="682"/>
      <c r="D149" s="682"/>
      <c r="E149" s="682"/>
      <c r="F149" s="682">
        <f t="shared" si="11"/>
        <v>0</v>
      </c>
      <c r="G149" s="682"/>
      <c r="H149" s="682"/>
      <c r="I149" s="682"/>
      <c r="J149" s="682">
        <f t="shared" si="12"/>
        <v>0</v>
      </c>
      <c r="K149" s="667">
        <f t="shared" si="13"/>
        <v>0</v>
      </c>
      <c r="L149" s="667">
        <f t="shared" si="8"/>
        <v>0</v>
      </c>
      <c r="M149" s="682">
        <f t="shared" si="14"/>
        <v>0</v>
      </c>
      <c r="N149" s="682"/>
    </row>
    <row r="150" spans="1:14" ht="12.75" hidden="1" x14ac:dyDescent="0.2">
      <c r="A150" s="709"/>
      <c r="B150" s="667"/>
      <c r="C150" s="682"/>
      <c r="D150" s="682"/>
      <c r="E150" s="682"/>
      <c r="F150" s="682">
        <f t="shared" si="11"/>
        <v>0</v>
      </c>
      <c r="G150" s="682"/>
      <c r="H150" s="682"/>
      <c r="I150" s="682"/>
      <c r="J150" s="682">
        <f t="shared" si="12"/>
        <v>0</v>
      </c>
      <c r="K150" s="667">
        <f t="shared" si="13"/>
        <v>0</v>
      </c>
      <c r="L150" s="667">
        <f t="shared" si="8"/>
        <v>0</v>
      </c>
      <c r="M150" s="682">
        <f t="shared" si="14"/>
        <v>0</v>
      </c>
      <c r="N150" s="682"/>
    </row>
    <row r="151" spans="1:14" ht="12.75" hidden="1" x14ac:dyDescent="0.2">
      <c r="A151" s="709"/>
      <c r="B151" s="667"/>
      <c r="C151" s="682"/>
      <c r="D151" s="682"/>
      <c r="E151" s="682"/>
      <c r="F151" s="682">
        <f t="shared" si="11"/>
        <v>0</v>
      </c>
      <c r="G151" s="682"/>
      <c r="H151" s="682"/>
      <c r="I151" s="682"/>
      <c r="J151" s="682">
        <f t="shared" si="12"/>
        <v>0</v>
      </c>
      <c r="K151" s="667">
        <f t="shared" si="13"/>
        <v>0</v>
      </c>
      <c r="L151" s="667">
        <f t="shared" si="8"/>
        <v>0</v>
      </c>
      <c r="M151" s="682">
        <f t="shared" si="14"/>
        <v>0</v>
      </c>
      <c r="N151" s="682"/>
    </row>
    <row r="152" spans="1:14" ht="12.75" hidden="1" x14ac:dyDescent="0.2">
      <c r="A152" s="708"/>
      <c r="B152" s="667"/>
      <c r="C152" s="682"/>
      <c r="D152" s="682"/>
      <c r="E152" s="682"/>
      <c r="F152" s="682">
        <f t="shared" si="11"/>
        <v>0</v>
      </c>
      <c r="G152" s="682"/>
      <c r="H152" s="682"/>
      <c r="I152" s="682"/>
      <c r="J152" s="682">
        <f t="shared" si="12"/>
        <v>0</v>
      </c>
      <c r="K152" s="667">
        <f t="shared" si="13"/>
        <v>0</v>
      </c>
      <c r="L152" s="667">
        <f t="shared" si="8"/>
        <v>0</v>
      </c>
      <c r="M152" s="682">
        <f t="shared" si="14"/>
        <v>0</v>
      </c>
      <c r="N152" s="682"/>
    </row>
    <row r="153" spans="1:14" ht="12.75" hidden="1" x14ac:dyDescent="0.2">
      <c r="A153" s="644"/>
      <c r="B153" s="712"/>
      <c r="C153" s="682"/>
      <c r="D153" s="682"/>
      <c r="E153" s="682"/>
      <c r="F153" s="682">
        <f t="shared" si="11"/>
        <v>0</v>
      </c>
      <c r="G153" s="682"/>
      <c r="H153" s="682"/>
      <c r="I153" s="682"/>
      <c r="J153" s="682">
        <f t="shared" si="12"/>
        <v>0</v>
      </c>
      <c r="K153" s="667">
        <f t="shared" si="13"/>
        <v>0</v>
      </c>
      <c r="L153" s="667">
        <f t="shared" si="8"/>
        <v>0</v>
      </c>
      <c r="M153" s="682">
        <f t="shared" si="14"/>
        <v>0</v>
      </c>
      <c r="N153" s="682"/>
    </row>
    <row r="154" spans="1:14" ht="12.75" hidden="1" x14ac:dyDescent="0.2">
      <c r="A154" s="644"/>
      <c r="B154" s="712"/>
      <c r="C154" s="682"/>
      <c r="D154" s="682"/>
      <c r="E154" s="682"/>
      <c r="F154" s="682">
        <f t="shared" si="11"/>
        <v>0</v>
      </c>
      <c r="G154" s="682"/>
      <c r="H154" s="682"/>
      <c r="I154" s="682"/>
      <c r="J154" s="682">
        <f t="shared" si="12"/>
        <v>0</v>
      </c>
      <c r="K154" s="667">
        <f t="shared" si="13"/>
        <v>0</v>
      </c>
      <c r="L154" s="667">
        <f t="shared" si="8"/>
        <v>0</v>
      </c>
      <c r="M154" s="682">
        <f t="shared" si="14"/>
        <v>0</v>
      </c>
      <c r="N154" s="682"/>
    </row>
    <row r="155" spans="1:14" ht="14.25" hidden="1" customHeight="1" x14ac:dyDescent="0.2">
      <c r="A155" s="644"/>
      <c r="B155" s="712"/>
      <c r="C155" s="682"/>
      <c r="D155" s="682"/>
      <c r="E155" s="682"/>
      <c r="F155" s="682">
        <f t="shared" si="11"/>
        <v>0</v>
      </c>
      <c r="G155" s="682"/>
      <c r="H155" s="682"/>
      <c r="I155" s="682"/>
      <c r="J155" s="682">
        <f t="shared" si="12"/>
        <v>0</v>
      </c>
      <c r="K155" s="667">
        <f t="shared" si="13"/>
        <v>0</v>
      </c>
      <c r="L155" s="667">
        <f t="shared" si="8"/>
        <v>0</v>
      </c>
      <c r="M155" s="682">
        <f t="shared" si="14"/>
        <v>0</v>
      </c>
      <c r="N155" s="682"/>
    </row>
    <row r="156" spans="1:14" ht="12.75" hidden="1" x14ac:dyDescent="0.2">
      <c r="A156" s="644"/>
      <c r="B156" s="712"/>
      <c r="C156" s="682"/>
      <c r="D156" s="682"/>
      <c r="E156" s="682"/>
      <c r="F156" s="682">
        <f t="shared" si="11"/>
        <v>0</v>
      </c>
      <c r="G156" s="682"/>
      <c r="H156" s="682"/>
      <c r="I156" s="682"/>
      <c r="J156" s="682">
        <f t="shared" si="12"/>
        <v>0</v>
      </c>
      <c r="K156" s="667">
        <f t="shared" si="13"/>
        <v>0</v>
      </c>
      <c r="L156" s="667">
        <f t="shared" si="8"/>
        <v>0</v>
      </c>
      <c r="M156" s="682">
        <f t="shared" si="14"/>
        <v>0</v>
      </c>
      <c r="N156" s="682"/>
    </row>
    <row r="157" spans="1:14" ht="12.75" x14ac:dyDescent="0.2">
      <c r="A157" s="644" t="s">
        <v>4242</v>
      </c>
      <c r="B157" s="712">
        <v>26517</v>
      </c>
      <c r="C157" s="714">
        <v>6</v>
      </c>
      <c r="D157" s="682"/>
      <c r="E157" s="682"/>
      <c r="F157" s="682">
        <f t="shared" si="11"/>
        <v>8839</v>
      </c>
      <c r="G157" s="682"/>
      <c r="H157" s="682"/>
      <c r="I157" s="682"/>
      <c r="J157" s="682">
        <f t="shared" si="12"/>
        <v>0</v>
      </c>
      <c r="K157" s="667">
        <f t="shared" si="13"/>
        <v>0.33333333333333331</v>
      </c>
      <c r="L157" s="667">
        <f t="shared" si="8"/>
        <v>8839</v>
      </c>
      <c r="M157" s="682">
        <f t="shared" si="14"/>
        <v>2209.75</v>
      </c>
      <c r="N157" s="682"/>
    </row>
    <row r="158" spans="1:14" ht="12.75" x14ac:dyDescent="0.2">
      <c r="A158" s="644" t="s">
        <v>4450</v>
      </c>
      <c r="B158" s="712">
        <v>29105</v>
      </c>
      <c r="C158" s="714">
        <v>50</v>
      </c>
      <c r="D158" s="682"/>
      <c r="E158" s="682"/>
      <c r="F158" s="682">
        <f t="shared" si="11"/>
        <v>80847.22</v>
      </c>
      <c r="G158" s="682"/>
      <c r="H158" s="682"/>
      <c r="I158" s="682"/>
      <c r="J158" s="682">
        <f t="shared" si="12"/>
        <v>0</v>
      </c>
      <c r="K158" s="667">
        <f t="shared" si="13"/>
        <v>2.7777777777777777</v>
      </c>
      <c r="L158" s="667">
        <f t="shared" si="8"/>
        <v>80847.22</v>
      </c>
      <c r="M158" s="682">
        <f t="shared" si="14"/>
        <v>20211.805</v>
      </c>
      <c r="N158" s="682"/>
    </row>
    <row r="159" spans="1:14" ht="12.75" x14ac:dyDescent="0.2">
      <c r="A159" s="644" t="s">
        <v>4429</v>
      </c>
      <c r="B159" s="712">
        <v>31053</v>
      </c>
      <c r="C159" s="682">
        <v>473.5</v>
      </c>
      <c r="D159" s="682">
        <v>69</v>
      </c>
      <c r="E159" s="682"/>
      <c r="F159" s="682">
        <f t="shared" si="11"/>
        <v>828770.07</v>
      </c>
      <c r="G159" s="682"/>
      <c r="H159" s="682"/>
      <c r="I159" s="682"/>
      <c r="J159" s="682">
        <f t="shared" si="12"/>
        <v>0</v>
      </c>
      <c r="K159" s="667">
        <f t="shared" si="13"/>
        <v>26.305555555555557</v>
      </c>
      <c r="L159" s="667">
        <f t="shared" si="8"/>
        <v>828770.07</v>
      </c>
      <c r="M159" s="682">
        <f t="shared" si="14"/>
        <v>207192.51749999999</v>
      </c>
      <c r="N159" s="682"/>
    </row>
    <row r="160" spans="1:14" ht="12.75" hidden="1" customHeight="1" x14ac:dyDescent="0.2">
      <c r="A160" s="708" t="s">
        <v>4481</v>
      </c>
      <c r="B160" s="703"/>
      <c r="C160" s="666"/>
      <c r="D160" s="666"/>
      <c r="E160" s="666"/>
      <c r="F160" s="666"/>
      <c r="G160" s="666"/>
      <c r="H160" s="666"/>
      <c r="I160" s="666"/>
      <c r="J160" s="666"/>
      <c r="K160" s="666"/>
      <c r="L160" s="704"/>
      <c r="M160" s="707"/>
      <c r="N160" s="707"/>
    </row>
    <row r="161" spans="1:14" ht="12.75" hidden="1" customHeight="1" x14ac:dyDescent="0.2">
      <c r="A161" s="709" t="s">
        <v>4482</v>
      </c>
      <c r="B161" s="667">
        <v>16802</v>
      </c>
      <c r="C161" s="682"/>
      <c r="D161" s="682"/>
      <c r="E161" s="682"/>
      <c r="F161" s="682">
        <f>ROUND($B161/24*C161+$B161/24*D161*0.1+$B161/248*E161*0.2,2)</f>
        <v>0</v>
      </c>
      <c r="G161" s="682"/>
      <c r="H161" s="682"/>
      <c r="I161" s="682"/>
      <c r="J161" s="682">
        <f>ROUND($B161/24*G161+$B161/24*H161*0.1+$B161/248*I161*0.2,2)</f>
        <v>0</v>
      </c>
      <c r="K161" s="667">
        <f>C161/24+G161/24</f>
        <v>0</v>
      </c>
      <c r="L161" s="667">
        <f t="shared" si="8"/>
        <v>0</v>
      </c>
      <c r="M161" s="682">
        <f>L161*0.25</f>
        <v>0</v>
      </c>
      <c r="N161" s="682"/>
    </row>
    <row r="162" spans="1:14" ht="25.5" hidden="1" customHeight="1" x14ac:dyDescent="0.2">
      <c r="A162" s="709" t="s">
        <v>4483</v>
      </c>
      <c r="B162" s="667">
        <v>18701</v>
      </c>
      <c r="C162" s="682"/>
      <c r="D162" s="682"/>
      <c r="E162" s="682"/>
      <c r="F162" s="682">
        <f t="shared" ref="F162:F199" si="15">ROUND($B162/24*C162+$B162/24*D162*0.1+$B162/248*E162*0.2,2)</f>
        <v>0</v>
      </c>
      <c r="G162" s="682"/>
      <c r="H162" s="682"/>
      <c r="I162" s="682"/>
      <c r="J162" s="682">
        <f t="shared" ref="J162:J179" si="16">ROUND($B162/24*G162+$B162/24*H162*0.1+$B162/248*I162*0.2,2)</f>
        <v>0</v>
      </c>
      <c r="K162" s="667">
        <f t="shared" ref="K162:K179" si="17">C162/24+G162/24</f>
        <v>0</v>
      </c>
      <c r="L162" s="667">
        <f t="shared" si="8"/>
        <v>0</v>
      </c>
      <c r="M162" s="682">
        <f t="shared" ref="M162:M177" si="18">L162*0.25</f>
        <v>0</v>
      </c>
      <c r="N162" s="682"/>
    </row>
    <row r="163" spans="1:14" ht="25.5" hidden="1" customHeight="1" x14ac:dyDescent="0.2">
      <c r="A163" s="709" t="s">
        <v>4484</v>
      </c>
      <c r="B163" s="667">
        <v>20357</v>
      </c>
      <c r="C163" s="682"/>
      <c r="D163" s="682"/>
      <c r="E163" s="682"/>
      <c r="F163" s="682">
        <f t="shared" si="15"/>
        <v>0</v>
      </c>
      <c r="G163" s="682"/>
      <c r="H163" s="682"/>
      <c r="I163" s="682"/>
      <c r="J163" s="682">
        <f t="shared" si="16"/>
        <v>0</v>
      </c>
      <c r="K163" s="667">
        <f t="shared" si="17"/>
        <v>0</v>
      </c>
      <c r="L163" s="667">
        <f t="shared" si="8"/>
        <v>0</v>
      </c>
      <c r="M163" s="682">
        <f t="shared" si="18"/>
        <v>0</v>
      </c>
      <c r="N163" s="682"/>
    </row>
    <row r="164" spans="1:14" ht="25.5" hidden="1" customHeight="1" x14ac:dyDescent="0.2">
      <c r="A164" s="709" t="s">
        <v>4485</v>
      </c>
      <c r="B164" s="667">
        <v>20896</v>
      </c>
      <c r="C164" s="682"/>
      <c r="D164" s="682"/>
      <c r="E164" s="682"/>
      <c r="F164" s="682">
        <f t="shared" si="15"/>
        <v>0</v>
      </c>
      <c r="G164" s="682"/>
      <c r="H164" s="682"/>
      <c r="I164" s="682"/>
      <c r="J164" s="682">
        <f t="shared" si="16"/>
        <v>0</v>
      </c>
      <c r="K164" s="667">
        <f t="shared" si="17"/>
        <v>0</v>
      </c>
      <c r="L164" s="667">
        <f t="shared" si="8"/>
        <v>0</v>
      </c>
      <c r="M164" s="682">
        <f t="shared" si="18"/>
        <v>0</v>
      </c>
      <c r="N164" s="682"/>
    </row>
    <row r="165" spans="1:14" ht="25.5" hidden="1" customHeight="1" x14ac:dyDescent="0.2">
      <c r="A165" s="709" t="s">
        <v>4486</v>
      </c>
      <c r="B165" s="667">
        <v>21435</v>
      </c>
      <c r="C165" s="682"/>
      <c r="D165" s="682"/>
      <c r="E165" s="682"/>
      <c r="F165" s="682">
        <f t="shared" si="15"/>
        <v>0</v>
      </c>
      <c r="G165" s="682"/>
      <c r="H165" s="682"/>
      <c r="I165" s="682"/>
      <c r="J165" s="682">
        <f t="shared" si="16"/>
        <v>0</v>
      </c>
      <c r="K165" s="667">
        <f t="shared" si="17"/>
        <v>0</v>
      </c>
      <c r="L165" s="667">
        <f t="shared" si="8"/>
        <v>0</v>
      </c>
      <c r="M165" s="682">
        <f t="shared" si="18"/>
        <v>0</v>
      </c>
      <c r="N165" s="682"/>
    </row>
    <row r="166" spans="1:14" ht="25.5" hidden="1" customHeight="1" x14ac:dyDescent="0.2">
      <c r="A166" s="708" t="s">
        <v>4487</v>
      </c>
      <c r="B166" s="667">
        <v>22252</v>
      </c>
      <c r="C166" s="682"/>
      <c r="D166" s="682"/>
      <c r="E166" s="682"/>
      <c r="F166" s="682">
        <f t="shared" si="15"/>
        <v>0</v>
      </c>
      <c r="G166" s="682"/>
      <c r="H166" s="682"/>
      <c r="I166" s="682"/>
      <c r="J166" s="682">
        <f t="shared" si="16"/>
        <v>0</v>
      </c>
      <c r="K166" s="667">
        <f t="shared" si="17"/>
        <v>0</v>
      </c>
      <c r="L166" s="667">
        <f t="shared" si="8"/>
        <v>0</v>
      </c>
      <c r="M166" s="682">
        <f t="shared" si="18"/>
        <v>0</v>
      </c>
      <c r="N166" s="682"/>
    </row>
    <row r="167" spans="1:14" ht="12.75" hidden="1" customHeight="1" x14ac:dyDescent="0.2">
      <c r="A167" s="709" t="s">
        <v>4488</v>
      </c>
      <c r="B167" s="667">
        <v>15967</v>
      </c>
      <c r="C167" s="682"/>
      <c r="D167" s="682"/>
      <c r="E167" s="682"/>
      <c r="F167" s="682">
        <f t="shared" si="15"/>
        <v>0</v>
      </c>
      <c r="G167" s="682"/>
      <c r="H167" s="682"/>
      <c r="I167" s="682"/>
      <c r="J167" s="682">
        <f t="shared" si="16"/>
        <v>0</v>
      </c>
      <c r="K167" s="667">
        <f t="shared" si="17"/>
        <v>0</v>
      </c>
      <c r="L167" s="667">
        <f t="shared" si="8"/>
        <v>0</v>
      </c>
      <c r="M167" s="682">
        <f t="shared" si="18"/>
        <v>0</v>
      </c>
      <c r="N167" s="682"/>
    </row>
    <row r="168" spans="1:14" ht="12.75" hidden="1" customHeight="1" x14ac:dyDescent="0.2">
      <c r="A168" s="709" t="s">
        <v>4489</v>
      </c>
      <c r="B168" s="667">
        <v>17767</v>
      </c>
      <c r="C168" s="682"/>
      <c r="D168" s="682"/>
      <c r="E168" s="682"/>
      <c r="F168" s="682">
        <f t="shared" si="15"/>
        <v>0</v>
      </c>
      <c r="G168" s="682"/>
      <c r="H168" s="682"/>
      <c r="I168" s="682"/>
      <c r="J168" s="682">
        <f t="shared" si="16"/>
        <v>0</v>
      </c>
      <c r="K168" s="667">
        <f t="shared" si="17"/>
        <v>0</v>
      </c>
      <c r="L168" s="667">
        <f t="shared" si="8"/>
        <v>0</v>
      </c>
      <c r="M168" s="682">
        <f t="shared" si="18"/>
        <v>0</v>
      </c>
      <c r="N168" s="682"/>
    </row>
    <row r="169" spans="1:14" ht="12.75" hidden="1" customHeight="1" x14ac:dyDescent="0.2">
      <c r="A169" s="709" t="s">
        <v>4490</v>
      </c>
      <c r="B169" s="667">
        <v>19337</v>
      </c>
      <c r="C169" s="682"/>
      <c r="D169" s="682"/>
      <c r="E169" s="682"/>
      <c r="F169" s="682">
        <f t="shared" si="15"/>
        <v>0</v>
      </c>
      <c r="G169" s="682"/>
      <c r="H169" s="682"/>
      <c r="I169" s="682"/>
      <c r="J169" s="682">
        <f t="shared" si="16"/>
        <v>0</v>
      </c>
      <c r="K169" s="667">
        <f t="shared" si="17"/>
        <v>0</v>
      </c>
      <c r="L169" s="667">
        <f t="shared" si="8"/>
        <v>0</v>
      </c>
      <c r="M169" s="682">
        <f t="shared" si="18"/>
        <v>0</v>
      </c>
      <c r="N169" s="682"/>
    </row>
    <row r="170" spans="1:14" ht="12.75" hidden="1" customHeight="1" x14ac:dyDescent="0.2">
      <c r="A170" s="709" t="s">
        <v>4491</v>
      </c>
      <c r="B170" s="667">
        <v>20367</v>
      </c>
      <c r="C170" s="682"/>
      <c r="D170" s="682"/>
      <c r="E170" s="682"/>
      <c r="F170" s="682">
        <f t="shared" si="15"/>
        <v>0</v>
      </c>
      <c r="G170" s="682"/>
      <c r="H170" s="682"/>
      <c r="I170" s="682"/>
      <c r="J170" s="682">
        <f t="shared" si="16"/>
        <v>0</v>
      </c>
      <c r="K170" s="667">
        <f t="shared" si="17"/>
        <v>0</v>
      </c>
      <c r="L170" s="667">
        <f t="shared" si="8"/>
        <v>0</v>
      </c>
      <c r="M170" s="682">
        <f t="shared" si="18"/>
        <v>0</v>
      </c>
      <c r="N170" s="682"/>
    </row>
    <row r="171" spans="1:14" ht="12.75" hidden="1" customHeight="1" x14ac:dyDescent="0.2">
      <c r="A171" s="709" t="s">
        <v>4492</v>
      </c>
      <c r="B171" s="667">
        <v>20896</v>
      </c>
      <c r="C171" s="682"/>
      <c r="D171" s="682"/>
      <c r="E171" s="682"/>
      <c r="F171" s="682">
        <f t="shared" si="15"/>
        <v>0</v>
      </c>
      <c r="G171" s="682"/>
      <c r="H171" s="682"/>
      <c r="I171" s="682"/>
      <c r="J171" s="682">
        <f t="shared" si="16"/>
        <v>0</v>
      </c>
      <c r="K171" s="667">
        <f t="shared" si="17"/>
        <v>0</v>
      </c>
      <c r="L171" s="667">
        <f t="shared" si="8"/>
        <v>0</v>
      </c>
      <c r="M171" s="682">
        <f t="shared" si="18"/>
        <v>0</v>
      </c>
      <c r="N171" s="682"/>
    </row>
    <row r="172" spans="1:14" ht="12.75" hidden="1" customHeight="1" x14ac:dyDescent="0.2">
      <c r="A172" s="708" t="s">
        <v>4493</v>
      </c>
      <c r="B172" s="667">
        <v>21136</v>
      </c>
      <c r="C172" s="682"/>
      <c r="D172" s="682"/>
      <c r="E172" s="682"/>
      <c r="F172" s="682">
        <f t="shared" si="15"/>
        <v>0</v>
      </c>
      <c r="G172" s="682"/>
      <c r="H172" s="682"/>
      <c r="I172" s="682"/>
      <c r="J172" s="682">
        <f t="shared" si="16"/>
        <v>0</v>
      </c>
      <c r="K172" s="667">
        <f t="shared" si="17"/>
        <v>0</v>
      </c>
      <c r="L172" s="667">
        <f t="shared" si="8"/>
        <v>0</v>
      </c>
      <c r="M172" s="682">
        <f t="shared" si="18"/>
        <v>0</v>
      </c>
      <c r="N172" s="682"/>
    </row>
    <row r="173" spans="1:14" ht="12.75" hidden="1" customHeight="1" x14ac:dyDescent="0.2">
      <c r="A173" s="644" t="s">
        <v>4494</v>
      </c>
      <c r="B173" s="667">
        <v>15444</v>
      </c>
      <c r="C173" s="682"/>
      <c r="D173" s="682"/>
      <c r="E173" s="682"/>
      <c r="F173" s="682">
        <f t="shared" si="15"/>
        <v>0</v>
      </c>
      <c r="G173" s="682"/>
      <c r="H173" s="682"/>
      <c r="I173" s="682"/>
      <c r="J173" s="682">
        <f t="shared" si="16"/>
        <v>0</v>
      </c>
      <c r="K173" s="667">
        <f t="shared" si="17"/>
        <v>0</v>
      </c>
      <c r="L173" s="667">
        <f t="shared" si="8"/>
        <v>0</v>
      </c>
      <c r="M173" s="682">
        <f t="shared" si="18"/>
        <v>0</v>
      </c>
      <c r="N173" s="682"/>
    </row>
    <row r="174" spans="1:14" ht="12.75" hidden="1" customHeight="1" x14ac:dyDescent="0.2">
      <c r="A174" s="644" t="s">
        <v>4495</v>
      </c>
      <c r="B174" s="667">
        <v>16805</v>
      </c>
      <c r="C174" s="682"/>
      <c r="D174" s="682"/>
      <c r="E174" s="682"/>
      <c r="F174" s="682">
        <f t="shared" si="15"/>
        <v>0</v>
      </c>
      <c r="G174" s="682"/>
      <c r="H174" s="682"/>
      <c r="I174" s="682"/>
      <c r="J174" s="682">
        <f t="shared" si="16"/>
        <v>0</v>
      </c>
      <c r="K174" s="667">
        <f t="shared" si="17"/>
        <v>0</v>
      </c>
      <c r="L174" s="667">
        <f t="shared" si="8"/>
        <v>0</v>
      </c>
      <c r="M174" s="682">
        <f t="shared" si="18"/>
        <v>0</v>
      </c>
      <c r="N174" s="682"/>
    </row>
    <row r="175" spans="1:14" ht="14.25" hidden="1" customHeight="1" x14ac:dyDescent="0.2">
      <c r="A175" s="644" t="s">
        <v>4496</v>
      </c>
      <c r="B175" s="667">
        <v>18701</v>
      </c>
      <c r="C175" s="682"/>
      <c r="D175" s="682"/>
      <c r="E175" s="682"/>
      <c r="F175" s="682">
        <f t="shared" si="15"/>
        <v>0</v>
      </c>
      <c r="G175" s="682"/>
      <c r="H175" s="682"/>
      <c r="I175" s="682"/>
      <c r="J175" s="682">
        <f t="shared" si="16"/>
        <v>0</v>
      </c>
      <c r="K175" s="667">
        <f t="shared" si="17"/>
        <v>0</v>
      </c>
      <c r="L175" s="667">
        <f t="shared" si="8"/>
        <v>0</v>
      </c>
      <c r="M175" s="682">
        <f t="shared" si="18"/>
        <v>0</v>
      </c>
      <c r="N175" s="682"/>
    </row>
    <row r="176" spans="1:14" ht="12.75" hidden="1" customHeight="1" x14ac:dyDescent="0.2">
      <c r="A176" s="644" t="s">
        <v>4497</v>
      </c>
      <c r="B176" s="667">
        <v>20357</v>
      </c>
      <c r="C176" s="682"/>
      <c r="D176" s="682"/>
      <c r="E176" s="682"/>
      <c r="F176" s="682">
        <f t="shared" si="15"/>
        <v>0</v>
      </c>
      <c r="G176" s="682"/>
      <c r="H176" s="682"/>
      <c r="I176" s="682"/>
      <c r="J176" s="682">
        <f t="shared" si="16"/>
        <v>0</v>
      </c>
      <c r="K176" s="667">
        <f t="shared" si="17"/>
        <v>0</v>
      </c>
      <c r="L176" s="667">
        <f t="shared" si="8"/>
        <v>0</v>
      </c>
      <c r="M176" s="682">
        <f t="shared" si="18"/>
        <v>0</v>
      </c>
      <c r="N176" s="682"/>
    </row>
    <row r="177" spans="1:14" ht="12.75" hidden="1" customHeight="1" x14ac:dyDescent="0.2">
      <c r="A177" s="644" t="s">
        <v>4498</v>
      </c>
      <c r="B177" s="712">
        <v>34781</v>
      </c>
      <c r="C177" s="682"/>
      <c r="D177" s="682"/>
      <c r="E177" s="682"/>
      <c r="F177" s="682">
        <f t="shared" si="15"/>
        <v>0</v>
      </c>
      <c r="G177" s="682"/>
      <c r="H177" s="682"/>
      <c r="I177" s="682"/>
      <c r="J177" s="682">
        <f t="shared" si="16"/>
        <v>0</v>
      </c>
      <c r="K177" s="667">
        <f t="shared" si="17"/>
        <v>0</v>
      </c>
      <c r="L177" s="667">
        <f t="shared" si="8"/>
        <v>0</v>
      </c>
      <c r="M177" s="682">
        <f t="shared" si="18"/>
        <v>0</v>
      </c>
      <c r="N177" s="682"/>
    </row>
    <row r="178" spans="1:14" ht="12.75" hidden="1" customHeight="1" x14ac:dyDescent="0.2">
      <c r="A178" s="644" t="s">
        <v>4450</v>
      </c>
      <c r="B178" s="712">
        <v>34781</v>
      </c>
      <c r="C178" s="682"/>
      <c r="D178" s="682"/>
      <c r="E178" s="682"/>
      <c r="F178" s="682">
        <f t="shared" si="15"/>
        <v>0</v>
      </c>
      <c r="G178" s="682"/>
      <c r="H178" s="682"/>
      <c r="I178" s="682"/>
      <c r="J178" s="682">
        <f t="shared" si="16"/>
        <v>0</v>
      </c>
      <c r="K178" s="667">
        <f t="shared" si="17"/>
        <v>0</v>
      </c>
      <c r="L178" s="667">
        <f t="shared" si="8"/>
        <v>0</v>
      </c>
      <c r="M178" s="682">
        <f>N178*3000</f>
        <v>0</v>
      </c>
      <c r="N178" s="682"/>
    </row>
    <row r="179" spans="1:14" ht="12.75" hidden="1" customHeight="1" x14ac:dyDescent="0.2">
      <c r="A179" s="644" t="s">
        <v>4429</v>
      </c>
      <c r="B179" s="712">
        <v>34781</v>
      </c>
      <c r="C179" s="682"/>
      <c r="D179" s="682"/>
      <c r="E179" s="682"/>
      <c r="F179" s="682">
        <f t="shared" si="15"/>
        <v>0</v>
      </c>
      <c r="G179" s="682"/>
      <c r="H179" s="682"/>
      <c r="I179" s="682"/>
      <c r="J179" s="682">
        <f t="shared" si="16"/>
        <v>0</v>
      </c>
      <c r="K179" s="667">
        <f t="shared" si="17"/>
        <v>0</v>
      </c>
      <c r="L179" s="667">
        <f t="shared" si="8"/>
        <v>0</v>
      </c>
      <c r="M179" s="682">
        <f>N179*6000</f>
        <v>0</v>
      </c>
      <c r="N179" s="682"/>
    </row>
    <row r="180" spans="1:14" ht="12.75" hidden="1" x14ac:dyDescent="0.2">
      <c r="A180" s="713" t="s">
        <v>4499</v>
      </c>
      <c r="B180" s="715"/>
      <c r="C180" s="682">
        <f>SUM(C181:C193)</f>
        <v>0</v>
      </c>
      <c r="D180" s="682">
        <f t="shared" ref="D180:M180" si="19">SUM(D181:D193)</f>
        <v>0</v>
      </c>
      <c r="E180" s="682">
        <f t="shared" si="19"/>
        <v>0</v>
      </c>
      <c r="F180" s="682">
        <f t="shared" si="19"/>
        <v>0</v>
      </c>
      <c r="G180" s="682">
        <f t="shared" si="19"/>
        <v>0</v>
      </c>
      <c r="H180" s="682">
        <f t="shared" si="19"/>
        <v>0</v>
      </c>
      <c r="I180" s="682">
        <f t="shared" si="19"/>
        <v>0</v>
      </c>
      <c r="J180" s="682">
        <f t="shared" si="19"/>
        <v>0</v>
      </c>
      <c r="K180" s="682">
        <f t="shared" si="19"/>
        <v>0</v>
      </c>
      <c r="L180" s="682">
        <f t="shared" si="19"/>
        <v>0</v>
      </c>
      <c r="M180" s="682">
        <f t="shared" si="19"/>
        <v>0</v>
      </c>
      <c r="N180" s="682"/>
    </row>
    <row r="181" spans="1:14" ht="12.75" hidden="1" x14ac:dyDescent="0.2">
      <c r="A181" s="709"/>
      <c r="B181" s="703"/>
      <c r="C181" s="682"/>
      <c r="D181" s="682"/>
      <c r="E181" s="682"/>
      <c r="F181" s="682">
        <f t="shared" si="15"/>
        <v>0</v>
      </c>
      <c r="G181" s="682"/>
      <c r="H181" s="682"/>
      <c r="I181" s="682"/>
      <c r="J181" s="682"/>
      <c r="K181" s="667">
        <f>C181/18+G181/18</f>
        <v>0</v>
      </c>
      <c r="L181" s="667">
        <f>F181+J181</f>
        <v>0</v>
      </c>
      <c r="M181" s="682">
        <f t="shared" ref="M181:M199" si="20">ROUND(L181*0.25,2)</f>
        <v>0</v>
      </c>
      <c r="N181" s="682"/>
    </row>
    <row r="182" spans="1:14" ht="12.75" hidden="1" x14ac:dyDescent="0.2">
      <c r="A182" s="709"/>
      <c r="B182" s="703"/>
      <c r="C182" s="682"/>
      <c r="D182" s="682"/>
      <c r="E182" s="682"/>
      <c r="F182" s="682">
        <f t="shared" si="15"/>
        <v>0</v>
      </c>
      <c r="G182" s="682"/>
      <c r="H182" s="682"/>
      <c r="I182" s="682"/>
      <c r="J182" s="682"/>
      <c r="K182" s="667">
        <f t="shared" ref="K182:K193" si="21">C182/18+G182/18</f>
        <v>0</v>
      </c>
      <c r="L182" s="667">
        <f t="shared" ref="L182:L193" si="22">F182+J182</f>
        <v>0</v>
      </c>
      <c r="M182" s="682">
        <f t="shared" si="20"/>
        <v>0</v>
      </c>
      <c r="N182" s="682"/>
    </row>
    <row r="183" spans="1:14" ht="12.75" hidden="1" x14ac:dyDescent="0.2">
      <c r="A183" s="709"/>
      <c r="B183" s="703"/>
      <c r="C183" s="682"/>
      <c r="D183" s="682"/>
      <c r="E183" s="682"/>
      <c r="F183" s="682">
        <f t="shared" si="15"/>
        <v>0</v>
      </c>
      <c r="G183" s="682"/>
      <c r="H183" s="682"/>
      <c r="I183" s="682"/>
      <c r="J183" s="682"/>
      <c r="K183" s="667">
        <f t="shared" si="21"/>
        <v>0</v>
      </c>
      <c r="L183" s="667">
        <f t="shared" si="22"/>
        <v>0</v>
      </c>
      <c r="M183" s="682">
        <f t="shared" si="20"/>
        <v>0</v>
      </c>
      <c r="N183" s="682"/>
    </row>
    <row r="184" spans="1:14" ht="12.75" hidden="1" x14ac:dyDescent="0.2">
      <c r="A184" s="709"/>
      <c r="B184" s="703"/>
      <c r="C184" s="682"/>
      <c r="D184" s="682"/>
      <c r="E184" s="682"/>
      <c r="F184" s="682">
        <f t="shared" si="15"/>
        <v>0</v>
      </c>
      <c r="G184" s="682"/>
      <c r="H184" s="682"/>
      <c r="I184" s="682"/>
      <c r="J184" s="682"/>
      <c r="K184" s="667">
        <f t="shared" si="21"/>
        <v>0</v>
      </c>
      <c r="L184" s="667">
        <f t="shared" si="22"/>
        <v>0</v>
      </c>
      <c r="M184" s="682">
        <f t="shared" si="20"/>
        <v>0</v>
      </c>
      <c r="N184" s="682"/>
    </row>
    <row r="185" spans="1:14" ht="12.75" hidden="1" x14ac:dyDescent="0.2">
      <c r="A185" s="709"/>
      <c r="B185" s="703"/>
      <c r="C185" s="682"/>
      <c r="D185" s="682"/>
      <c r="E185" s="682"/>
      <c r="F185" s="682">
        <f t="shared" si="15"/>
        <v>0</v>
      </c>
      <c r="G185" s="682"/>
      <c r="H185" s="682"/>
      <c r="I185" s="682"/>
      <c r="J185" s="682"/>
      <c r="K185" s="667">
        <f t="shared" si="21"/>
        <v>0</v>
      </c>
      <c r="L185" s="667">
        <f t="shared" si="22"/>
        <v>0</v>
      </c>
      <c r="M185" s="682">
        <f t="shared" si="20"/>
        <v>0</v>
      </c>
      <c r="N185" s="682"/>
    </row>
    <row r="186" spans="1:14" ht="12.75" hidden="1" x14ac:dyDescent="0.2">
      <c r="A186" s="708"/>
      <c r="B186" s="703"/>
      <c r="C186" s="682"/>
      <c r="D186" s="682"/>
      <c r="E186" s="682"/>
      <c r="F186" s="682">
        <f t="shared" si="15"/>
        <v>0</v>
      </c>
      <c r="G186" s="682"/>
      <c r="H186" s="682"/>
      <c r="I186" s="682"/>
      <c r="J186" s="682"/>
      <c r="K186" s="667">
        <f t="shared" si="21"/>
        <v>0</v>
      </c>
      <c r="L186" s="667">
        <f t="shared" si="22"/>
        <v>0</v>
      </c>
      <c r="M186" s="682">
        <f t="shared" si="20"/>
        <v>0</v>
      </c>
      <c r="N186" s="682"/>
    </row>
    <row r="187" spans="1:14" s="718" customFormat="1" ht="12.75" hidden="1" x14ac:dyDescent="0.2">
      <c r="A187" s="644" t="s">
        <v>4242</v>
      </c>
      <c r="B187" s="716">
        <v>26517</v>
      </c>
      <c r="C187" s="714"/>
      <c r="D187" s="714"/>
      <c r="E187" s="714"/>
      <c r="F187" s="682">
        <f t="shared" si="15"/>
        <v>0</v>
      </c>
      <c r="G187" s="714"/>
      <c r="H187" s="714"/>
      <c r="I187" s="714"/>
      <c r="J187" s="714"/>
      <c r="K187" s="717">
        <f t="shared" si="21"/>
        <v>0</v>
      </c>
      <c r="L187" s="717">
        <f t="shared" si="22"/>
        <v>0</v>
      </c>
      <c r="M187" s="714">
        <f t="shared" si="20"/>
        <v>0</v>
      </c>
      <c r="N187" s="714"/>
    </row>
    <row r="188" spans="1:14" ht="12.75" hidden="1" x14ac:dyDescent="0.2">
      <c r="A188" s="644"/>
      <c r="B188" s="666"/>
      <c r="C188" s="682"/>
      <c r="D188" s="682"/>
      <c r="E188" s="682"/>
      <c r="F188" s="682">
        <f t="shared" si="15"/>
        <v>0</v>
      </c>
      <c r="G188" s="682"/>
      <c r="H188" s="682"/>
      <c r="I188" s="682"/>
      <c r="J188" s="682"/>
      <c r="K188" s="667">
        <f t="shared" si="21"/>
        <v>0</v>
      </c>
      <c r="L188" s="667">
        <f t="shared" si="22"/>
        <v>0</v>
      </c>
      <c r="M188" s="682">
        <f t="shared" si="20"/>
        <v>0</v>
      </c>
      <c r="N188" s="682"/>
    </row>
    <row r="189" spans="1:14" ht="12.75" hidden="1" x14ac:dyDescent="0.2">
      <c r="A189" s="644"/>
      <c r="B189" s="666"/>
      <c r="C189" s="682"/>
      <c r="D189" s="682"/>
      <c r="E189" s="682"/>
      <c r="F189" s="682">
        <f t="shared" si="15"/>
        <v>0</v>
      </c>
      <c r="G189" s="682"/>
      <c r="H189" s="682"/>
      <c r="I189" s="682"/>
      <c r="J189" s="682"/>
      <c r="K189" s="667">
        <f t="shared" si="21"/>
        <v>0</v>
      </c>
      <c r="L189" s="667">
        <f t="shared" si="22"/>
        <v>0</v>
      </c>
      <c r="M189" s="682">
        <f t="shared" si="20"/>
        <v>0</v>
      </c>
      <c r="N189" s="682"/>
    </row>
    <row r="190" spans="1:14" ht="12.75" hidden="1" x14ac:dyDescent="0.2">
      <c r="A190" s="644"/>
      <c r="B190" s="666"/>
      <c r="C190" s="682"/>
      <c r="D190" s="682"/>
      <c r="E190" s="682"/>
      <c r="F190" s="682">
        <f t="shared" si="15"/>
        <v>0</v>
      </c>
      <c r="G190" s="682"/>
      <c r="H190" s="682"/>
      <c r="I190" s="682"/>
      <c r="J190" s="682"/>
      <c r="K190" s="667">
        <f t="shared" si="21"/>
        <v>0</v>
      </c>
      <c r="L190" s="667">
        <f t="shared" si="22"/>
        <v>0</v>
      </c>
      <c r="M190" s="682">
        <f t="shared" si="20"/>
        <v>0</v>
      </c>
      <c r="N190" s="682"/>
    </row>
    <row r="191" spans="1:14" ht="12.75" hidden="1" x14ac:dyDescent="0.2">
      <c r="A191" s="644"/>
      <c r="B191" s="666"/>
      <c r="C191" s="682"/>
      <c r="D191" s="682"/>
      <c r="E191" s="682"/>
      <c r="F191" s="682">
        <f t="shared" si="15"/>
        <v>0</v>
      </c>
      <c r="G191" s="682"/>
      <c r="H191" s="682"/>
      <c r="I191" s="682"/>
      <c r="J191" s="682"/>
      <c r="K191" s="667">
        <f t="shared" si="21"/>
        <v>0</v>
      </c>
      <c r="L191" s="667">
        <f t="shared" si="22"/>
        <v>0</v>
      </c>
      <c r="M191" s="682">
        <f t="shared" si="20"/>
        <v>0</v>
      </c>
      <c r="N191" s="682"/>
    </row>
    <row r="192" spans="1:14" s="718" customFormat="1" ht="12.75" hidden="1" x14ac:dyDescent="0.2">
      <c r="A192" s="719" t="s">
        <v>4450</v>
      </c>
      <c r="B192" s="716">
        <v>29105</v>
      </c>
      <c r="C192" s="714"/>
      <c r="D192" s="714"/>
      <c r="E192" s="714"/>
      <c r="F192" s="682">
        <f t="shared" si="15"/>
        <v>0</v>
      </c>
      <c r="G192" s="714"/>
      <c r="H192" s="714"/>
      <c r="I192" s="714"/>
      <c r="J192" s="714"/>
      <c r="K192" s="717">
        <f t="shared" si="21"/>
        <v>0</v>
      </c>
      <c r="L192" s="717">
        <f t="shared" si="22"/>
        <v>0</v>
      </c>
      <c r="M192" s="714">
        <f t="shared" si="20"/>
        <v>0</v>
      </c>
      <c r="N192" s="714"/>
    </row>
    <row r="193" spans="1:16" s="718" customFormat="1" ht="12.75" hidden="1" x14ac:dyDescent="0.2">
      <c r="A193" s="719" t="s">
        <v>4429</v>
      </c>
      <c r="B193" s="716">
        <v>31053</v>
      </c>
      <c r="C193" s="714"/>
      <c r="D193" s="714"/>
      <c r="E193" s="714"/>
      <c r="F193" s="682">
        <f t="shared" si="15"/>
        <v>0</v>
      </c>
      <c r="G193" s="714"/>
      <c r="H193" s="714"/>
      <c r="I193" s="714"/>
      <c r="J193" s="714"/>
      <c r="K193" s="717">
        <f t="shared" si="21"/>
        <v>0</v>
      </c>
      <c r="L193" s="717">
        <f t="shared" si="22"/>
        <v>0</v>
      </c>
      <c r="M193" s="714">
        <f t="shared" si="20"/>
        <v>0</v>
      </c>
      <c r="N193" s="714"/>
    </row>
    <row r="194" spans="1:16" ht="12.75" hidden="1" customHeight="1" x14ac:dyDescent="0.2">
      <c r="A194" s="708" t="s">
        <v>4500</v>
      </c>
      <c r="B194" s="720"/>
      <c r="C194" s="667">
        <f>SUM(C195:C199)</f>
        <v>0</v>
      </c>
      <c r="D194" s="667">
        <f t="shared" ref="D194:L194" si="23">SUM(D195:D199)</f>
        <v>0</v>
      </c>
      <c r="E194" s="667">
        <f t="shared" si="23"/>
        <v>0</v>
      </c>
      <c r="F194" s="667">
        <f t="shared" si="23"/>
        <v>0</v>
      </c>
      <c r="G194" s="667">
        <f t="shared" si="23"/>
        <v>0</v>
      </c>
      <c r="H194" s="667">
        <f t="shared" si="23"/>
        <v>0</v>
      </c>
      <c r="I194" s="667">
        <f t="shared" si="23"/>
        <v>0</v>
      </c>
      <c r="J194" s="667">
        <f t="shared" si="23"/>
        <v>0</v>
      </c>
      <c r="K194" s="667">
        <f t="shared" si="23"/>
        <v>0</v>
      </c>
      <c r="L194" s="667">
        <f t="shared" si="23"/>
        <v>0</v>
      </c>
      <c r="M194" s="682">
        <f t="shared" si="20"/>
        <v>0</v>
      </c>
      <c r="N194" s="682"/>
    </row>
    <row r="195" spans="1:16" ht="12.75" hidden="1" customHeight="1" x14ac:dyDescent="0.2">
      <c r="A195" s="645" t="s">
        <v>4242</v>
      </c>
      <c r="B195" s="716">
        <v>26517</v>
      </c>
      <c r="C195" s="711"/>
      <c r="D195" s="682"/>
      <c r="E195" s="682"/>
      <c r="F195" s="682">
        <f t="shared" si="15"/>
        <v>0</v>
      </c>
      <c r="G195" s="682"/>
      <c r="H195" s="682"/>
      <c r="I195" s="682"/>
      <c r="J195" s="682"/>
      <c r="K195" s="667">
        <f>C195/24+G195/24</f>
        <v>0</v>
      </c>
      <c r="L195" s="667">
        <f>F195+J195</f>
        <v>0</v>
      </c>
      <c r="M195" s="682">
        <f t="shared" si="20"/>
        <v>0</v>
      </c>
      <c r="N195" s="682"/>
    </row>
    <row r="196" spans="1:16" ht="12.75" hidden="1" customHeight="1" x14ac:dyDescent="0.2">
      <c r="A196" s="644" t="s">
        <v>4431</v>
      </c>
      <c r="B196" s="721"/>
      <c r="C196" s="711"/>
      <c r="D196" s="682"/>
      <c r="E196" s="682"/>
      <c r="F196" s="682">
        <f t="shared" si="15"/>
        <v>0</v>
      </c>
      <c r="G196" s="682"/>
      <c r="H196" s="682"/>
      <c r="I196" s="682"/>
      <c r="J196" s="682"/>
      <c r="K196" s="667">
        <f>C196/24+G196/24</f>
        <v>0</v>
      </c>
      <c r="L196" s="667">
        <f>F196+J196</f>
        <v>0</v>
      </c>
      <c r="M196" s="682">
        <f t="shared" si="20"/>
        <v>0</v>
      </c>
      <c r="N196" s="682"/>
    </row>
    <row r="197" spans="1:16" ht="12.75" hidden="1" customHeight="1" x14ac:dyDescent="0.2">
      <c r="A197" s="644" t="s">
        <v>4450</v>
      </c>
      <c r="B197" s="716">
        <v>29105</v>
      </c>
      <c r="C197" s="682"/>
      <c r="D197" s="682"/>
      <c r="E197" s="682"/>
      <c r="F197" s="682">
        <f t="shared" si="15"/>
        <v>0</v>
      </c>
      <c r="G197" s="682"/>
      <c r="H197" s="682"/>
      <c r="I197" s="682"/>
      <c r="J197" s="682"/>
      <c r="K197" s="667">
        <f>C197/24+G197/24</f>
        <v>0</v>
      </c>
      <c r="L197" s="667">
        <f>F197+J197</f>
        <v>0</v>
      </c>
      <c r="M197" s="682">
        <f t="shared" si="20"/>
        <v>0</v>
      </c>
      <c r="N197" s="682"/>
    </row>
    <row r="198" spans="1:16" ht="12.75" hidden="1" customHeight="1" x14ac:dyDescent="0.2">
      <c r="A198" s="644" t="s">
        <v>4429</v>
      </c>
      <c r="B198" s="716">
        <v>31053</v>
      </c>
      <c r="C198" s="682"/>
      <c r="D198" s="682">
        <f>C198</f>
        <v>0</v>
      </c>
      <c r="E198" s="682"/>
      <c r="F198" s="682">
        <f t="shared" si="15"/>
        <v>0</v>
      </c>
      <c r="G198" s="682"/>
      <c r="H198" s="682"/>
      <c r="I198" s="682"/>
      <c r="J198" s="682"/>
      <c r="K198" s="667">
        <f>C198/24+G198/24</f>
        <v>0</v>
      </c>
      <c r="L198" s="667">
        <f>F198+J198</f>
        <v>0</v>
      </c>
      <c r="M198" s="682">
        <f t="shared" si="20"/>
        <v>0</v>
      </c>
      <c r="N198" s="682"/>
      <c r="O198" s="677" t="e">
        <f>L198-#REF!</f>
        <v>#REF!</v>
      </c>
      <c r="P198" s="677" t="e">
        <f>O198/(K198+K199)</f>
        <v>#REF!</v>
      </c>
    </row>
    <row r="199" spans="1:16" ht="12.75" hidden="1" customHeight="1" x14ac:dyDescent="0.2">
      <c r="A199" s="644" t="s">
        <v>4429</v>
      </c>
      <c r="B199" s="712"/>
      <c r="C199" s="682"/>
      <c r="D199" s="682"/>
      <c r="E199" s="682"/>
      <c r="F199" s="682">
        <f t="shared" si="15"/>
        <v>0</v>
      </c>
      <c r="G199" s="682"/>
      <c r="H199" s="682"/>
      <c r="I199" s="682"/>
      <c r="J199" s="682"/>
      <c r="K199" s="667">
        <f>C199/24+G199/24</f>
        <v>0</v>
      </c>
      <c r="L199" s="667">
        <f>F199+J199</f>
        <v>0</v>
      </c>
      <c r="M199" s="682">
        <f t="shared" si="20"/>
        <v>0</v>
      </c>
      <c r="N199" s="682"/>
    </row>
    <row r="200" spans="1:16" ht="13.9" customHeight="1" x14ac:dyDescent="0.2">
      <c r="A200" s="644" t="s">
        <v>3837</v>
      </c>
      <c r="B200" s="666"/>
      <c r="C200" s="667">
        <f>C194+C180+C120+C140</f>
        <v>641.5</v>
      </c>
      <c r="D200" s="667">
        <f t="shared" ref="D200:M200" si="24">D194+D180+D120+D140</f>
        <v>85</v>
      </c>
      <c r="E200" s="667">
        <f t="shared" si="24"/>
        <v>0</v>
      </c>
      <c r="F200" s="667">
        <f t="shared" si="24"/>
        <v>1110829.8999999999</v>
      </c>
      <c r="G200" s="667">
        <f t="shared" si="24"/>
        <v>40</v>
      </c>
      <c r="H200" s="667">
        <f t="shared" si="24"/>
        <v>4</v>
      </c>
      <c r="I200" s="667">
        <f t="shared" si="24"/>
        <v>0</v>
      </c>
      <c r="J200" s="667">
        <f t="shared" si="24"/>
        <v>68830.960000000006</v>
      </c>
      <c r="K200" s="667">
        <f t="shared" si="24"/>
        <v>37.861111111111114</v>
      </c>
      <c r="L200" s="667">
        <f t="shared" si="24"/>
        <v>1179660.8599999999</v>
      </c>
      <c r="M200" s="667">
        <f t="shared" si="24"/>
        <v>294915.22249999997</v>
      </c>
      <c r="N200" s="667"/>
    </row>
    <row r="201" spans="1:16" ht="13.9" customHeight="1" x14ac:dyDescent="0.2">
      <c r="A201" s="644"/>
      <c r="B201" s="712"/>
      <c r="C201" s="722">
        <f>C200+G200</f>
        <v>681.5</v>
      </c>
      <c r="D201" s="722"/>
      <c r="E201" s="722"/>
      <c r="F201" s="722"/>
      <c r="G201" s="722"/>
      <c r="H201" s="722"/>
      <c r="I201" s="722"/>
      <c r="J201" s="722"/>
      <c r="K201" s="722"/>
      <c r="L201" s="667"/>
      <c r="M201" s="636">
        <f>C200+G200</f>
        <v>681.5</v>
      </c>
      <c r="N201" s="636"/>
    </row>
    <row r="202" spans="1:16" ht="18" customHeight="1" x14ac:dyDescent="0.2">
      <c r="A202" s="685" t="s">
        <v>4501</v>
      </c>
      <c r="B202" s="723"/>
      <c r="C202" s="724"/>
      <c r="D202" s="724"/>
      <c r="E202" s="724"/>
      <c r="F202" s="723"/>
      <c r="G202" s="723"/>
      <c r="H202" s="723"/>
      <c r="I202" s="723"/>
      <c r="J202" s="723"/>
      <c r="K202" s="722"/>
      <c r="L202" s="673">
        <v>41</v>
      </c>
      <c r="N202" s="725"/>
    </row>
    <row r="203" spans="1:16" ht="18" customHeight="1" x14ac:dyDescent="0.2">
      <c r="A203" s="726" t="s">
        <v>4502</v>
      </c>
      <c r="B203" s="660"/>
      <c r="C203" s="727"/>
      <c r="D203" s="727"/>
      <c r="E203" s="727"/>
      <c r="F203" s="660"/>
      <c r="G203" s="660"/>
      <c r="H203" s="660"/>
      <c r="I203" s="660"/>
      <c r="J203" s="660"/>
      <c r="K203" s="660"/>
      <c r="L203" s="728">
        <f>L200/L202</f>
        <v>28772.216097560973</v>
      </c>
      <c r="N203" s="725"/>
    </row>
    <row r="204" spans="1:16" ht="18" customHeight="1" x14ac:dyDescent="0.2">
      <c r="A204" s="638" t="s">
        <v>4503</v>
      </c>
      <c r="B204" s="660"/>
      <c r="E204" s="660"/>
    </row>
    <row r="205" spans="1:16" ht="51.75" customHeight="1" x14ac:dyDescent="0.2">
      <c r="A205" s="809"/>
      <c r="B205" s="729" t="s">
        <v>4050</v>
      </c>
      <c r="C205" s="730" t="s">
        <v>4504</v>
      </c>
      <c r="D205" s="731" t="s">
        <v>4505</v>
      </c>
      <c r="E205" s="732" t="s">
        <v>4471</v>
      </c>
      <c r="F205" s="730" t="s">
        <v>4506</v>
      </c>
      <c r="G205" s="733" t="s">
        <v>4507</v>
      </c>
      <c r="H205" s="734" t="s">
        <v>4508</v>
      </c>
      <c r="I205" s="697" t="s">
        <v>4509</v>
      </c>
      <c r="J205" s="735" t="s">
        <v>4510</v>
      </c>
      <c r="K205" s="736" t="s">
        <v>4511</v>
      </c>
      <c r="L205" s="736" t="s">
        <v>4512</v>
      </c>
      <c r="N205" s="638"/>
    </row>
    <row r="206" spans="1:16" ht="18" customHeight="1" x14ac:dyDescent="0.2">
      <c r="A206" s="810"/>
      <c r="B206" s="737" t="s">
        <v>4513</v>
      </c>
      <c r="C206" s="736"/>
      <c r="D206" s="679"/>
      <c r="E206" s="666"/>
      <c r="F206" s="738">
        <v>50</v>
      </c>
      <c r="G206" s="739">
        <v>30</v>
      </c>
      <c r="H206" s="739">
        <v>15</v>
      </c>
      <c r="I206" s="644">
        <v>25</v>
      </c>
      <c r="J206" s="644"/>
      <c r="K206" s="667"/>
      <c r="L206" s="667"/>
      <c r="N206" s="638"/>
    </row>
    <row r="207" spans="1:16" ht="18" customHeight="1" x14ac:dyDescent="0.2">
      <c r="A207" s="644" t="s">
        <v>4514</v>
      </c>
      <c r="B207" s="682">
        <f>B56</f>
        <v>6</v>
      </c>
      <c r="C207" s="740">
        <f>G56</f>
        <v>222859</v>
      </c>
      <c r="D207" s="740"/>
      <c r="E207" s="740">
        <f>C207*1.1</f>
        <v>245144.90000000002</v>
      </c>
      <c r="F207" s="740"/>
      <c r="G207" s="740">
        <f>(C207)/(100-$G$206)*$G$206</f>
        <v>95511</v>
      </c>
      <c r="H207" s="741"/>
      <c r="I207" s="644"/>
      <c r="J207" s="742">
        <f>SUM(C207:I207)</f>
        <v>563514.9</v>
      </c>
      <c r="K207" s="667"/>
      <c r="L207" s="644"/>
      <c r="N207" s="638"/>
    </row>
    <row r="208" spans="1:16" ht="18" hidden="1" customHeight="1" x14ac:dyDescent="0.2">
      <c r="A208" s="644" t="s">
        <v>4515</v>
      </c>
      <c r="B208" s="682">
        <v>0</v>
      </c>
      <c r="C208" s="740">
        <v>0</v>
      </c>
      <c r="D208" s="740"/>
      <c r="E208" s="740"/>
      <c r="F208" s="740"/>
      <c r="G208" s="740">
        <f t="shared" ref="G208:G211" si="25">(C208)/(100-$G$206)*$G$206</f>
        <v>0</v>
      </c>
      <c r="H208" s="741"/>
      <c r="I208" s="644"/>
      <c r="J208" s="742">
        <f t="shared" ref="J208:J211" si="26">SUM(C208:I208)</f>
        <v>0</v>
      </c>
      <c r="K208" s="667"/>
      <c r="L208" s="644"/>
      <c r="N208" s="638"/>
    </row>
    <row r="209" spans="1:54" ht="18" hidden="1" customHeight="1" x14ac:dyDescent="0.2">
      <c r="A209" s="644" t="s">
        <v>4516</v>
      </c>
      <c r="B209" s="682">
        <f>B93</f>
        <v>0</v>
      </c>
      <c r="C209" s="740">
        <f>G93</f>
        <v>0</v>
      </c>
      <c r="D209" s="740"/>
      <c r="E209" s="740"/>
      <c r="F209" s="740"/>
      <c r="G209" s="740">
        <f t="shared" si="25"/>
        <v>0</v>
      </c>
      <c r="H209" s="741"/>
      <c r="I209" s="644"/>
      <c r="J209" s="742">
        <f t="shared" si="26"/>
        <v>0</v>
      </c>
      <c r="K209" s="667"/>
      <c r="L209" s="644"/>
      <c r="N209" s="638"/>
    </row>
    <row r="210" spans="1:54" ht="18" customHeight="1" x14ac:dyDescent="0.2">
      <c r="A210" s="644" t="s">
        <v>4517</v>
      </c>
      <c r="B210" s="682">
        <f>B104</f>
        <v>2</v>
      </c>
      <c r="C210" s="740">
        <f>G104</f>
        <v>34226</v>
      </c>
      <c r="D210" s="740"/>
      <c r="E210" s="740"/>
      <c r="F210" s="740"/>
      <c r="G210" s="740">
        <f t="shared" si="25"/>
        <v>14668.285714285714</v>
      </c>
      <c r="H210" s="741"/>
      <c r="I210" s="644"/>
      <c r="J210" s="742">
        <f t="shared" si="26"/>
        <v>48894.28571428571</v>
      </c>
      <c r="K210" s="667"/>
      <c r="L210" s="644"/>
      <c r="N210" s="638"/>
      <c r="AM210" s="743"/>
      <c r="AN210" s="743"/>
      <c r="AO210" s="743"/>
      <c r="AP210" s="743"/>
      <c r="AQ210" s="743"/>
      <c r="AR210" s="743"/>
      <c r="AS210" s="743"/>
      <c r="AT210" s="743"/>
      <c r="AU210" s="743"/>
      <c r="AV210" s="743"/>
      <c r="AW210" s="743"/>
      <c r="AX210" s="743"/>
      <c r="AY210" s="743"/>
      <c r="AZ210" s="743"/>
      <c r="BA210" s="743"/>
      <c r="BB210" s="743"/>
    </row>
    <row r="211" spans="1:54" ht="18" customHeight="1" x14ac:dyDescent="0.2">
      <c r="A211" s="644" t="s">
        <v>4467</v>
      </c>
      <c r="B211" s="682">
        <f>B111</f>
        <v>9.25</v>
      </c>
      <c r="C211" s="740">
        <f>G111</f>
        <v>83269.75</v>
      </c>
      <c r="D211" s="740"/>
      <c r="E211" s="740"/>
      <c r="F211" s="740"/>
      <c r="G211" s="740">
        <f t="shared" si="25"/>
        <v>35687.03571428571</v>
      </c>
      <c r="H211" s="741"/>
      <c r="I211" s="667">
        <f>23000*B211-C211-G211</f>
        <v>93793.21428571429</v>
      </c>
      <c r="J211" s="742">
        <f t="shared" si="26"/>
        <v>212750</v>
      </c>
      <c r="K211" s="667"/>
      <c r="L211" s="644"/>
      <c r="N211" s="638"/>
      <c r="AM211" s="718"/>
      <c r="AN211" s="718"/>
      <c r="AO211" s="718"/>
      <c r="AP211" s="718"/>
      <c r="AQ211" s="718"/>
      <c r="AR211" s="718"/>
      <c r="AS211" s="718"/>
      <c r="AT211" s="718"/>
      <c r="AU211" s="718"/>
      <c r="AV211" s="718"/>
      <c r="AW211" s="718"/>
      <c r="AX211" s="718"/>
      <c r="AY211" s="718"/>
      <c r="AZ211" s="718"/>
      <c r="BA211" s="718"/>
      <c r="BB211" s="718"/>
    </row>
    <row r="212" spans="1:54" ht="18" customHeight="1" x14ac:dyDescent="0.2">
      <c r="A212" s="719" t="s">
        <v>4518</v>
      </c>
      <c r="B212" s="714">
        <f>SUM(B207:B211)</f>
        <v>17.25</v>
      </c>
      <c r="C212" s="744">
        <f>SUM(C207:C211)</f>
        <v>340354.75</v>
      </c>
      <c r="D212" s="744">
        <f>SUM(D207:D211)</f>
        <v>0</v>
      </c>
      <c r="E212" s="744"/>
      <c r="F212" s="744">
        <f>SUM(F207:F211)</f>
        <v>0</v>
      </c>
      <c r="G212" s="744">
        <f>SUM(G207:G211)</f>
        <v>145866.32142857142</v>
      </c>
      <c r="H212" s="745">
        <f>SUM(H207:H211)</f>
        <v>0</v>
      </c>
      <c r="I212" s="745">
        <f>SUM(I207:I211)</f>
        <v>93793.21428571429</v>
      </c>
      <c r="J212" s="744">
        <f>SUM(J207:J211)</f>
        <v>825159.1857142857</v>
      </c>
      <c r="K212" s="667"/>
      <c r="L212" s="644"/>
      <c r="N212" s="638"/>
      <c r="AM212" s="743"/>
      <c r="AN212" s="743"/>
      <c r="AO212" s="743"/>
      <c r="AP212" s="743"/>
      <c r="AQ212" s="743"/>
      <c r="AR212" s="743"/>
      <c r="AS212" s="743"/>
      <c r="AT212" s="743"/>
      <c r="AU212" s="743"/>
      <c r="AV212" s="743"/>
      <c r="AW212" s="743"/>
      <c r="AX212" s="743"/>
      <c r="AY212" s="743"/>
      <c r="AZ212" s="743"/>
      <c r="BA212" s="743"/>
      <c r="BB212" s="743"/>
    </row>
    <row r="213" spans="1:54" s="773" customFormat="1" ht="18" customHeight="1" x14ac:dyDescent="0.2">
      <c r="A213" s="538" t="s">
        <v>4519</v>
      </c>
      <c r="B213" s="769">
        <f>B76</f>
        <v>6</v>
      </c>
      <c r="C213" s="573">
        <f>G76/1.25</f>
        <v>166948.79999999999</v>
      </c>
      <c r="D213" s="573"/>
      <c r="E213" s="573"/>
      <c r="F213" s="573"/>
      <c r="G213" s="573">
        <f>(C213)/(100-$G$206-$H$206)*$G$206</f>
        <v>91062.981818181812</v>
      </c>
      <c r="H213" s="770"/>
      <c r="I213" s="771">
        <f>H74+H75</f>
        <v>18000</v>
      </c>
      <c r="J213" s="772">
        <f t="shared" ref="J213:J217" si="27">SUM(C213:I213)</f>
        <v>276011.7818181818</v>
      </c>
      <c r="K213" s="771"/>
      <c r="L213" s="538"/>
    </row>
    <row r="214" spans="1:54" s="773" customFormat="1" ht="18" customHeight="1" x14ac:dyDescent="0.2">
      <c r="A214" s="538" t="s">
        <v>4520</v>
      </c>
      <c r="B214" s="774">
        <f>B80</f>
        <v>3.75</v>
      </c>
      <c r="C214" s="775">
        <f>G80/1.25</f>
        <v>117420.11200000001</v>
      </c>
      <c r="D214" s="775"/>
      <c r="E214" s="573">
        <f>C214*0.25</f>
        <v>29355.028000000002</v>
      </c>
      <c r="F214" s="775"/>
      <c r="G214" s="573">
        <f t="shared" ref="G214:G218" si="28">(C214)/(100-$G$206-$H$206)*$G$206</f>
        <v>64047.333818181818</v>
      </c>
      <c r="H214" s="770">
        <f>(C214)/(100-$H$206-$G$206)*$H$206</f>
        <v>32023.666909090909</v>
      </c>
      <c r="I214" s="771">
        <f t="shared" ref="I214:I218" si="29">B214*5000</f>
        <v>18750</v>
      </c>
      <c r="J214" s="772">
        <f t="shared" si="27"/>
        <v>261596.14072727275</v>
      </c>
      <c r="K214" s="771"/>
      <c r="L214" s="538"/>
    </row>
    <row r="215" spans="1:54" s="773" customFormat="1" ht="18" customHeight="1" x14ac:dyDescent="0.2">
      <c r="A215" s="776" t="s">
        <v>4521</v>
      </c>
      <c r="B215" s="774">
        <f>K180+K160+K140+K120</f>
        <v>37.861111111111114</v>
      </c>
      <c r="C215" s="774">
        <f>L180+L160+L140+L120</f>
        <v>1179660.8599999999</v>
      </c>
      <c r="D215" s="775"/>
      <c r="E215" s="775">
        <f>M180+M160+M140+M120</f>
        <v>294915.22249999997</v>
      </c>
      <c r="F215" s="775">
        <f>F216+F217+F218</f>
        <v>459228.14499999996</v>
      </c>
      <c r="G215" s="573">
        <f t="shared" si="28"/>
        <v>643451.37818181806</v>
      </c>
      <c r="H215" s="770">
        <f t="shared" ref="H215:H218" si="30">(C215)/(100-$H$206-$G$206)*$H$206</f>
        <v>321725.68909090903</v>
      </c>
      <c r="I215" s="771">
        <f t="shared" si="29"/>
        <v>189305.55555555556</v>
      </c>
      <c r="J215" s="772">
        <f>SUM(C215:I215)</f>
        <v>3088286.8503282825</v>
      </c>
      <c r="K215" s="771"/>
      <c r="L215" s="538"/>
    </row>
    <row r="216" spans="1:54" s="773" customFormat="1" ht="18" customHeight="1" x14ac:dyDescent="0.2">
      <c r="A216" s="776" t="s">
        <v>4522</v>
      </c>
      <c r="B216" s="774">
        <f>G120/18</f>
        <v>2.2222222222222223</v>
      </c>
      <c r="C216" s="774">
        <f>J120+J140+J160+J180</f>
        <v>68830.960000000006</v>
      </c>
      <c r="D216" s="775"/>
      <c r="E216" s="775">
        <f>C216*0.25</f>
        <v>17207.740000000002</v>
      </c>
      <c r="F216" s="775"/>
      <c r="G216" s="573">
        <f t="shared" si="28"/>
        <v>37544.160000000003</v>
      </c>
      <c r="H216" s="770">
        <f t="shared" si="30"/>
        <v>18772.080000000002</v>
      </c>
      <c r="I216" s="771">
        <f t="shared" si="29"/>
        <v>11111.111111111111</v>
      </c>
      <c r="J216" s="772">
        <f t="shared" si="27"/>
        <v>153466.05111111113</v>
      </c>
      <c r="K216" s="771"/>
      <c r="L216" s="538"/>
    </row>
    <row r="217" spans="1:54" s="773" customFormat="1" ht="18" customHeight="1" x14ac:dyDescent="0.2">
      <c r="A217" s="776" t="s">
        <v>4523</v>
      </c>
      <c r="B217" s="774">
        <f>C120/18</f>
        <v>6.2222222222222223</v>
      </c>
      <c r="C217" s="774">
        <f>F120</f>
        <v>192373.61</v>
      </c>
      <c r="D217" s="775"/>
      <c r="E217" s="775">
        <f t="shared" ref="E217:E218" si="31">C217*0.25</f>
        <v>48093.402499999997</v>
      </c>
      <c r="F217" s="775"/>
      <c r="G217" s="573">
        <f t="shared" si="28"/>
        <v>104931.06</v>
      </c>
      <c r="H217" s="770">
        <f t="shared" si="30"/>
        <v>52465.53</v>
      </c>
      <c r="I217" s="771">
        <f t="shared" si="29"/>
        <v>31111.111111111113</v>
      </c>
      <c r="J217" s="772">
        <f t="shared" si="27"/>
        <v>428974.71361111116</v>
      </c>
      <c r="K217" s="771"/>
      <c r="L217" s="538"/>
    </row>
    <row r="218" spans="1:54" ht="18" customHeight="1" x14ac:dyDescent="0.2">
      <c r="A218" s="687" t="s">
        <v>4524</v>
      </c>
      <c r="B218" s="746">
        <f>C180/18+C140/18</f>
        <v>29.416666666666668</v>
      </c>
      <c r="C218" s="746">
        <f>C215-C216-C217</f>
        <v>918456.28999999992</v>
      </c>
      <c r="D218" s="747"/>
      <c r="E218" s="747">
        <f t="shared" si="31"/>
        <v>229614.07249999998</v>
      </c>
      <c r="F218" s="747">
        <f>C218*0.5</f>
        <v>459228.14499999996</v>
      </c>
      <c r="G218" s="740">
        <f t="shared" si="28"/>
        <v>500976.15818181814</v>
      </c>
      <c r="H218" s="741">
        <f t="shared" si="30"/>
        <v>250488.07909090907</v>
      </c>
      <c r="I218" s="667">
        <f t="shared" si="29"/>
        <v>147083.33333333334</v>
      </c>
      <c r="J218" s="742">
        <f>SUM(C218:I218)</f>
        <v>2505846.0781060606</v>
      </c>
      <c r="K218" s="667">
        <f>(J207+J214+J218)/G8</f>
        <v>5085.4307157760813</v>
      </c>
      <c r="L218" s="667">
        <f>K218*12</f>
        <v>61025.168589312976</v>
      </c>
      <c r="N218" s="638"/>
    </row>
    <row r="219" spans="1:54" ht="18" customHeight="1" x14ac:dyDescent="0.2">
      <c r="A219" s="719" t="s">
        <v>4525</v>
      </c>
      <c r="B219" s="714">
        <f>SUM(B213:B215)</f>
        <v>47.611111111111114</v>
      </c>
      <c r="C219" s="714">
        <f t="shared" ref="C219:I219" si="32">SUM(C213:C215)</f>
        <v>1464029.7719999999</v>
      </c>
      <c r="D219" s="714">
        <f t="shared" ref="D219:F219" si="33">SUM(D213:D215)</f>
        <v>0</v>
      </c>
      <c r="E219" s="714">
        <f t="shared" si="33"/>
        <v>324270.25049999997</v>
      </c>
      <c r="F219" s="714">
        <f t="shared" si="33"/>
        <v>459228.14499999996</v>
      </c>
      <c r="G219" s="714">
        <f>SUM(G213:G215)</f>
        <v>798561.69381818175</v>
      </c>
      <c r="H219" s="748">
        <f t="shared" si="32"/>
        <v>353749.35599999991</v>
      </c>
      <c r="I219" s="748">
        <f t="shared" si="32"/>
        <v>226055.55555555556</v>
      </c>
      <c r="J219" s="749">
        <f>SUM(J213:J215)</f>
        <v>3625894.7728737369</v>
      </c>
      <c r="K219" s="667"/>
      <c r="L219" s="644"/>
      <c r="N219" s="638"/>
      <c r="AM219" s="718"/>
      <c r="AN219" s="718"/>
      <c r="AO219" s="718"/>
      <c r="AP219" s="718"/>
      <c r="AQ219" s="718"/>
      <c r="AR219" s="718"/>
      <c r="AS219" s="718"/>
      <c r="AT219" s="718"/>
      <c r="AU219" s="718"/>
      <c r="AV219" s="718"/>
      <c r="AW219" s="718"/>
      <c r="AX219" s="718"/>
      <c r="AY219" s="718"/>
      <c r="AZ219" s="718"/>
      <c r="BA219" s="718"/>
      <c r="BB219" s="718"/>
    </row>
    <row r="220" spans="1:54" ht="18" customHeight="1" x14ac:dyDescent="0.2">
      <c r="A220" s="719" t="s">
        <v>4526</v>
      </c>
      <c r="B220" s="714">
        <f>B219+B212</f>
        <v>64.861111111111114</v>
      </c>
      <c r="C220" s="714">
        <f t="shared" ref="C220:I220" si="34">C219+C212</f>
        <v>1804384.5219999999</v>
      </c>
      <c r="D220" s="714">
        <f t="shared" ref="D220:E220" si="35">D219+D212</f>
        <v>0</v>
      </c>
      <c r="E220" s="714">
        <f t="shared" si="35"/>
        <v>324270.25049999997</v>
      </c>
      <c r="F220" s="714">
        <f>F219+F212</f>
        <v>459228.14499999996</v>
      </c>
      <c r="G220" s="714">
        <f>G219+G212</f>
        <v>944428.01524675312</v>
      </c>
      <c r="H220" s="714">
        <f t="shared" si="34"/>
        <v>353749.35599999991</v>
      </c>
      <c r="I220" s="714">
        <f t="shared" si="34"/>
        <v>319848.76984126982</v>
      </c>
      <c r="J220" s="714">
        <f>J219+J212</f>
        <v>4451053.9585880227</v>
      </c>
      <c r="K220" s="667"/>
      <c r="L220" s="644"/>
      <c r="N220" s="638"/>
      <c r="AM220" s="718"/>
      <c r="AN220" s="718"/>
      <c r="AO220" s="718"/>
      <c r="AP220" s="718"/>
      <c r="AQ220" s="718"/>
      <c r="AR220" s="718"/>
      <c r="AS220" s="718"/>
      <c r="AT220" s="718"/>
      <c r="AU220" s="718"/>
      <c r="AV220" s="718"/>
      <c r="AW220" s="718"/>
      <c r="AX220" s="718"/>
      <c r="AY220" s="718"/>
      <c r="AZ220" s="718"/>
      <c r="BA220" s="718"/>
      <c r="BB220" s="718"/>
    </row>
  </sheetData>
  <mergeCells count="14">
    <mergeCell ref="G118:I118"/>
    <mergeCell ref="M116:M118"/>
    <mergeCell ref="N116:N118"/>
    <mergeCell ref="E15:G15"/>
    <mergeCell ref="E16:G16"/>
    <mergeCell ref="C117:F117"/>
    <mergeCell ref="G117:J117"/>
    <mergeCell ref="A205:A206"/>
    <mergeCell ref="D2:E3"/>
    <mergeCell ref="D4:E4"/>
    <mergeCell ref="D5:E5"/>
    <mergeCell ref="D8:E8"/>
    <mergeCell ref="D9:E9"/>
    <mergeCell ref="C118:E118"/>
  </mergeCells>
  <pageMargins left="0.70866141732283472" right="0.70866141732283472" top="0.26" bottom="0.74803149606299213" header="0.31496062992125984" footer="0.31496062992125984"/>
  <pageSetup paperSize="9" scale="55" orientation="landscape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B8" sqref="B8"/>
    </sheetView>
  </sheetViews>
  <sheetFormatPr defaultRowHeight="12.75" x14ac:dyDescent="0.2"/>
  <cols>
    <col min="1" max="1" width="3.7109375" customWidth="1"/>
    <col min="2" max="2" width="39.5703125" customWidth="1"/>
    <col min="3" max="3" width="24" customWidth="1"/>
    <col min="4" max="4" width="14.85546875" customWidth="1"/>
    <col min="5" max="5" width="13.7109375" customWidth="1"/>
  </cols>
  <sheetData>
    <row r="1" spans="1:4" s="24" customFormat="1" ht="15" x14ac:dyDescent="0.2">
      <c r="B1" s="886" t="s">
        <v>125</v>
      </c>
      <c r="C1" s="886"/>
    </row>
    <row r="2" spans="1:4" s="24" customFormat="1" ht="15" x14ac:dyDescent="0.2">
      <c r="B2" s="801" t="s">
        <v>124</v>
      </c>
      <c r="C2" s="801"/>
    </row>
    <row r="3" spans="1:4" s="24" customFormat="1" ht="15" x14ac:dyDescent="0.2"/>
    <row r="4" spans="1:4" s="24" customFormat="1" ht="15" x14ac:dyDescent="0.2"/>
    <row r="5" spans="1:4" s="24" customFormat="1" ht="15" x14ac:dyDescent="0.2"/>
    <row r="6" spans="1:4" ht="15.75" x14ac:dyDescent="0.25">
      <c r="A6" s="10"/>
      <c r="B6" s="10"/>
    </row>
    <row r="7" spans="1:4" ht="48" customHeight="1" x14ac:dyDescent="0.2">
      <c r="A7" s="11"/>
      <c r="B7" s="787" t="s">
        <v>3917</v>
      </c>
      <c r="C7" s="787"/>
      <c r="D7" s="25"/>
    </row>
    <row r="8" spans="1:4" x14ac:dyDescent="0.2">
      <c r="A8" s="12"/>
      <c r="B8" s="12"/>
    </row>
    <row r="9" spans="1:4" s="53" customFormat="1" ht="31.15" customHeight="1" x14ac:dyDescent="0.2">
      <c r="A9" s="51" t="s">
        <v>122</v>
      </c>
      <c r="B9" s="51" t="s">
        <v>121</v>
      </c>
      <c r="C9" s="169" t="s">
        <v>3913</v>
      </c>
    </row>
    <row r="10" spans="1:4" s="56" customFormat="1" ht="11.25" x14ac:dyDescent="0.2">
      <c r="A10" s="54">
        <v>1</v>
      </c>
      <c r="B10" s="55">
        <v>2</v>
      </c>
      <c r="C10" s="54">
        <v>3</v>
      </c>
    </row>
    <row r="11" spans="1:4" s="59" customFormat="1" ht="24.6" customHeight="1" x14ac:dyDescent="0.2">
      <c r="A11" s="57">
        <v>1</v>
      </c>
      <c r="B11" s="58" t="s">
        <v>127</v>
      </c>
      <c r="C11" s="174">
        <v>30.8</v>
      </c>
    </row>
    <row r="12" spans="1:4" s="59" customFormat="1" ht="25.5" x14ac:dyDescent="0.2">
      <c r="A12" s="57">
        <v>2</v>
      </c>
      <c r="B12" s="58" t="s">
        <v>126</v>
      </c>
      <c r="C12" s="174">
        <v>29</v>
      </c>
    </row>
    <row r="13" spans="1:4" s="59" customFormat="1" x14ac:dyDescent="0.2">
      <c r="A13" s="57">
        <v>3</v>
      </c>
      <c r="B13" s="58" t="s">
        <v>128</v>
      </c>
      <c r="C13" s="174">
        <v>20.8</v>
      </c>
    </row>
    <row r="14" spans="1:4" s="59" customFormat="1" ht="25.5" x14ac:dyDescent="0.2">
      <c r="A14" s="57">
        <v>4</v>
      </c>
      <c r="B14" s="58" t="s">
        <v>3914</v>
      </c>
      <c r="C14" s="174">
        <v>35.4</v>
      </c>
    </row>
    <row r="15" spans="1:4" x14ac:dyDescent="0.2">
      <c r="A15" s="38"/>
      <c r="B15" s="38"/>
      <c r="C15" s="38"/>
    </row>
    <row r="16" spans="1:4" ht="15" x14ac:dyDescent="0.2">
      <c r="B16" s="791" t="s">
        <v>3847</v>
      </c>
      <c r="C16" s="791"/>
      <c r="D16" s="791"/>
    </row>
    <row r="17" spans="1:2" s="23" customFormat="1" ht="17.25" customHeight="1" x14ac:dyDescent="0.2">
      <c r="A17" s="21"/>
    </row>
    <row r="18" spans="1:2" s="23" customFormat="1" ht="18" customHeight="1" x14ac:dyDescent="0.2">
      <c r="A18" s="42"/>
      <c r="B18" s="25"/>
    </row>
    <row r="19" spans="1:2" s="23" customFormat="1" ht="15" x14ac:dyDescent="0.2">
      <c r="A19" s="42"/>
      <c r="B19" s="168"/>
    </row>
    <row r="20" spans="1:2" s="23" customFormat="1" ht="15" x14ac:dyDescent="0.2">
      <c r="A20" s="42"/>
      <c r="B20" s="168"/>
    </row>
    <row r="21" spans="1:2" s="23" customFormat="1" ht="15" x14ac:dyDescent="0.2">
      <c r="A21" s="168"/>
    </row>
    <row r="22" spans="1:2" s="23" customFormat="1" ht="15" x14ac:dyDescent="0.2">
      <c r="A22" s="792"/>
      <c r="B22" s="793"/>
    </row>
    <row r="23" spans="1:2" s="23" customFormat="1" ht="15" customHeight="1" x14ac:dyDescent="0.2">
      <c r="A23" s="788"/>
      <c r="B23" s="788"/>
    </row>
    <row r="24" spans="1:2" s="23" customFormat="1" ht="15" x14ac:dyDescent="0.2">
      <c r="A24" s="788"/>
      <c r="B24" s="788"/>
    </row>
    <row r="25" spans="1:2" s="23" customFormat="1" ht="15" x14ac:dyDescent="0.2">
      <c r="A25" s="788"/>
      <c r="B25" s="788"/>
    </row>
    <row r="26" spans="1:2" s="23" customFormat="1" ht="15" x14ac:dyDescent="0.2">
      <c r="A26" s="168"/>
      <c r="B26" s="168"/>
    </row>
  </sheetData>
  <mergeCells count="8">
    <mergeCell ref="A24:B24"/>
    <mergeCell ref="A25:B25"/>
    <mergeCell ref="B1:C1"/>
    <mergeCell ref="B2:C2"/>
    <mergeCell ref="B7:C7"/>
    <mergeCell ref="B16:D16"/>
    <mergeCell ref="A22:B22"/>
    <mergeCell ref="A23:B23"/>
  </mergeCells>
  <pageMargins left="0.75" right="0.34" top="0.68" bottom="1" header="0.32" footer="0.5"/>
  <pageSetup paperSize="9" orientation="portrait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E12" sqref="E12:E15"/>
    </sheetView>
  </sheetViews>
  <sheetFormatPr defaultRowHeight="12.75" x14ac:dyDescent="0.2"/>
  <cols>
    <col min="1" max="1" width="3.7109375" customWidth="1"/>
    <col min="2" max="2" width="39.5703125" customWidth="1"/>
    <col min="3" max="3" width="24" customWidth="1"/>
    <col min="4" max="4" width="14.85546875" customWidth="1"/>
    <col min="5" max="5" width="13.7109375" customWidth="1"/>
  </cols>
  <sheetData>
    <row r="1" spans="1:5" s="24" customFormat="1" ht="15" x14ac:dyDescent="0.2">
      <c r="B1" s="886" t="s">
        <v>125</v>
      </c>
      <c r="C1" s="886"/>
    </row>
    <row r="2" spans="1:5" s="24" customFormat="1" ht="15" x14ac:dyDescent="0.2">
      <c r="B2" s="801" t="s">
        <v>124</v>
      </c>
      <c r="C2" s="801"/>
    </row>
    <row r="3" spans="1:5" s="24" customFormat="1" ht="15" x14ac:dyDescent="0.2"/>
    <row r="4" spans="1:5" s="24" customFormat="1" ht="15" x14ac:dyDescent="0.2"/>
    <row r="5" spans="1:5" s="24" customFormat="1" ht="15" x14ac:dyDescent="0.2"/>
    <row r="6" spans="1:5" ht="15.75" x14ac:dyDescent="0.25">
      <c r="A6" s="10"/>
      <c r="B6" s="10"/>
    </row>
    <row r="7" spans="1:5" ht="48" customHeight="1" x14ac:dyDescent="0.2">
      <c r="A7" s="11"/>
      <c r="B7" s="787" t="s">
        <v>3879</v>
      </c>
      <c r="C7" s="787"/>
      <c r="D7" s="25"/>
    </row>
    <row r="8" spans="1:5" x14ac:dyDescent="0.2">
      <c r="A8" s="12"/>
      <c r="B8" s="12"/>
    </row>
    <row r="9" spans="1:5" s="53" customFormat="1" ht="31.15" customHeight="1" x14ac:dyDescent="0.2">
      <c r="A9" s="51" t="s">
        <v>122</v>
      </c>
      <c r="B9" s="887" t="s">
        <v>121</v>
      </c>
      <c r="C9" s="888" t="s">
        <v>3884</v>
      </c>
      <c r="D9" s="888"/>
      <c r="E9" s="888"/>
    </row>
    <row r="10" spans="1:5" s="53" customFormat="1" ht="31.15" customHeight="1" x14ac:dyDescent="0.2">
      <c r="A10" s="51"/>
      <c r="B10" s="887"/>
      <c r="C10" s="69" t="s">
        <v>3880</v>
      </c>
      <c r="D10" s="119" t="s">
        <v>3881</v>
      </c>
      <c r="E10" s="119" t="s">
        <v>3885</v>
      </c>
    </row>
    <row r="11" spans="1:5" s="56" customFormat="1" ht="11.25" x14ac:dyDescent="0.2">
      <c r="A11" s="54">
        <v>1</v>
      </c>
      <c r="B11" s="54">
        <v>2</v>
      </c>
      <c r="C11" s="54">
        <v>3</v>
      </c>
      <c r="D11" s="54">
        <v>4</v>
      </c>
      <c r="E11" s="54">
        <v>5</v>
      </c>
    </row>
    <row r="12" spans="1:5" s="59" customFormat="1" ht="24.6" customHeight="1" x14ac:dyDescent="0.2">
      <c r="A12" s="57">
        <v>1</v>
      </c>
      <c r="B12" s="135" t="s">
        <v>127</v>
      </c>
      <c r="C12" s="60">
        <v>18.809999999999999</v>
      </c>
      <c r="D12" s="60">
        <v>18.809999999999999</v>
      </c>
      <c r="E12" s="60">
        <v>0.26400000000000001</v>
      </c>
    </row>
    <row r="13" spans="1:5" s="59" customFormat="1" ht="24.6" customHeight="1" x14ac:dyDescent="0.2">
      <c r="A13" s="57">
        <v>2</v>
      </c>
      <c r="B13" s="135" t="s">
        <v>3878</v>
      </c>
      <c r="C13" s="60">
        <v>28.22</v>
      </c>
      <c r="D13" s="60">
        <v>28.22</v>
      </c>
      <c r="E13" s="60">
        <v>0.26400000000000001</v>
      </c>
    </row>
    <row r="14" spans="1:5" s="59" customFormat="1" ht="25.5" x14ac:dyDescent="0.2">
      <c r="A14" s="57">
        <v>3</v>
      </c>
      <c r="B14" s="135" t="s">
        <v>126</v>
      </c>
      <c r="C14" s="60">
        <v>3.6</v>
      </c>
      <c r="D14" s="60">
        <v>3.6</v>
      </c>
      <c r="E14" s="60">
        <v>3.4000000000000002E-2</v>
      </c>
    </row>
    <row r="15" spans="1:5" s="59" customFormat="1" x14ac:dyDescent="0.2">
      <c r="A15" s="57">
        <v>4</v>
      </c>
      <c r="B15" s="135" t="s">
        <v>128</v>
      </c>
      <c r="C15" s="60">
        <v>0.9</v>
      </c>
      <c r="D15" s="60">
        <v>0.9</v>
      </c>
      <c r="E15" s="60">
        <v>1.2E-2</v>
      </c>
    </row>
    <row r="16" spans="1:5" x14ac:dyDescent="0.2">
      <c r="A16" s="38"/>
      <c r="B16" s="38"/>
      <c r="C16" s="38"/>
    </row>
    <row r="17" spans="1:4" ht="15" x14ac:dyDescent="0.2">
      <c r="B17" s="791" t="s">
        <v>3847</v>
      </c>
      <c r="C17" s="791"/>
      <c r="D17" s="791"/>
    </row>
    <row r="18" spans="1:4" s="23" customFormat="1" ht="17.25" customHeight="1" x14ac:dyDescent="0.2">
      <c r="A18" s="21"/>
    </row>
    <row r="19" spans="1:4" s="23" customFormat="1" ht="18" customHeight="1" x14ac:dyDescent="0.2">
      <c r="A19" s="42"/>
      <c r="B19" s="25"/>
    </row>
    <row r="20" spans="1:4" s="23" customFormat="1" ht="15" x14ac:dyDescent="0.2">
      <c r="A20" s="42"/>
      <c r="B20" s="150"/>
    </row>
    <row r="21" spans="1:4" s="23" customFormat="1" ht="15" x14ac:dyDescent="0.2">
      <c r="A21" s="42"/>
      <c r="B21" s="150"/>
    </row>
    <row r="22" spans="1:4" s="23" customFormat="1" ht="15" x14ac:dyDescent="0.2">
      <c r="A22" s="150"/>
    </row>
    <row r="23" spans="1:4" s="23" customFormat="1" ht="15" x14ac:dyDescent="0.2">
      <c r="A23" s="792"/>
      <c r="B23" s="793"/>
    </row>
    <row r="24" spans="1:4" s="23" customFormat="1" ht="15" customHeight="1" x14ac:dyDescent="0.2">
      <c r="A24" s="788"/>
      <c r="B24" s="788"/>
    </row>
    <row r="25" spans="1:4" s="23" customFormat="1" ht="15" x14ac:dyDescent="0.2">
      <c r="A25" s="788"/>
      <c r="B25" s="788"/>
    </row>
    <row r="26" spans="1:4" s="23" customFormat="1" ht="15" x14ac:dyDescent="0.2">
      <c r="A26" s="788"/>
      <c r="B26" s="788"/>
    </row>
    <row r="27" spans="1:4" s="23" customFormat="1" ht="15" x14ac:dyDescent="0.2">
      <c r="A27" s="150"/>
      <c r="B27" s="150"/>
    </row>
  </sheetData>
  <mergeCells count="10">
    <mergeCell ref="A25:B25"/>
    <mergeCell ref="A26:B26"/>
    <mergeCell ref="B9:B10"/>
    <mergeCell ref="C9:E9"/>
    <mergeCell ref="B1:C1"/>
    <mergeCell ref="B2:C2"/>
    <mergeCell ref="B7:C7"/>
    <mergeCell ref="B17:D17"/>
    <mergeCell ref="A23:B23"/>
    <mergeCell ref="A24:B24"/>
  </mergeCells>
  <pageMargins left="0.75" right="0.34" top="0.68" bottom="1" header="0.32" footer="0.5"/>
  <pageSetup paperSize="9" orientation="portrait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workbookViewId="0">
      <selection activeCell="B12" sqref="B12"/>
    </sheetView>
  </sheetViews>
  <sheetFormatPr defaultRowHeight="12.75" x14ac:dyDescent="0.2"/>
  <cols>
    <col min="1" max="1" width="3.7109375" customWidth="1"/>
    <col min="2" max="2" width="39.5703125" customWidth="1"/>
    <col min="3" max="3" width="14.85546875" customWidth="1"/>
    <col min="4" max="4" width="13.7109375" customWidth="1"/>
  </cols>
  <sheetData>
    <row r="1" spans="1:3" s="24" customFormat="1" ht="15" x14ac:dyDescent="0.2">
      <c r="B1" s="152" t="s">
        <v>125</v>
      </c>
    </row>
    <row r="2" spans="1:3" s="24" customFormat="1" ht="15" x14ac:dyDescent="0.2">
      <c r="B2" s="153" t="s">
        <v>124</v>
      </c>
    </row>
    <row r="3" spans="1:3" s="24" customFormat="1" ht="15" x14ac:dyDescent="0.2"/>
    <row r="4" spans="1:3" s="24" customFormat="1" ht="15" x14ac:dyDescent="0.2"/>
    <row r="5" spans="1:3" s="24" customFormat="1" ht="15" x14ac:dyDescent="0.2"/>
    <row r="6" spans="1:3" ht="15.75" x14ac:dyDescent="0.25">
      <c r="A6" s="10"/>
      <c r="B6" s="10"/>
    </row>
    <row r="7" spans="1:3" ht="48" customHeight="1" x14ac:dyDescent="0.2">
      <c r="A7" s="11"/>
      <c r="B7" s="149" t="s">
        <v>3882</v>
      </c>
      <c r="C7" s="25"/>
    </row>
    <row r="8" spans="1:3" x14ac:dyDescent="0.2">
      <c r="A8" s="12"/>
      <c r="B8" s="12"/>
    </row>
    <row r="9" spans="1:3" s="53" customFormat="1" ht="61.15" customHeight="1" x14ac:dyDescent="0.2">
      <c r="A9" s="51" t="s">
        <v>122</v>
      </c>
      <c r="B9" s="68" t="s">
        <v>121</v>
      </c>
      <c r="C9" s="119" t="s">
        <v>3883</v>
      </c>
    </row>
    <row r="10" spans="1:3" s="56" customFormat="1" ht="11.25" x14ac:dyDescent="0.2">
      <c r="A10" s="54">
        <v>1</v>
      </c>
      <c r="B10" s="54">
        <v>2</v>
      </c>
      <c r="C10" s="54">
        <v>4</v>
      </c>
    </row>
    <row r="11" spans="1:3" s="59" customFormat="1" ht="24.6" customHeight="1" x14ac:dyDescent="0.2">
      <c r="A11" s="57">
        <v>1</v>
      </c>
      <c r="B11" s="135" t="s">
        <v>127</v>
      </c>
      <c r="C11" s="60">
        <v>0.216</v>
      </c>
    </row>
    <row r="12" spans="1:3" s="59" customFormat="1" ht="38.25" x14ac:dyDescent="0.2">
      <c r="A12" s="57">
        <v>2</v>
      </c>
      <c r="B12" s="135" t="s">
        <v>3886</v>
      </c>
      <c r="C12" s="60">
        <v>0.16800000000000001</v>
      </c>
    </row>
    <row r="13" spans="1:3" x14ac:dyDescent="0.2">
      <c r="A13" s="38"/>
      <c r="B13" s="38"/>
    </row>
    <row r="14" spans="1:3" ht="15" x14ac:dyDescent="0.2">
      <c r="B14" s="791" t="s">
        <v>3847</v>
      </c>
      <c r="C14" s="791"/>
    </row>
    <row r="15" spans="1:3" s="23" customFormat="1" ht="17.25" customHeight="1" x14ac:dyDescent="0.2">
      <c r="A15" s="21"/>
    </row>
    <row r="16" spans="1:3" s="23" customFormat="1" ht="18" customHeight="1" x14ac:dyDescent="0.2">
      <c r="A16" s="42"/>
      <c r="B16" s="25"/>
    </row>
    <row r="17" spans="1:2" s="23" customFormat="1" ht="15" x14ac:dyDescent="0.2">
      <c r="A17" s="42"/>
      <c r="B17" s="150"/>
    </row>
    <row r="18" spans="1:2" s="23" customFormat="1" ht="15" x14ac:dyDescent="0.2">
      <c r="A18" s="42"/>
      <c r="B18" s="150"/>
    </row>
    <row r="19" spans="1:2" s="23" customFormat="1" ht="15" x14ac:dyDescent="0.2">
      <c r="A19" s="150"/>
    </row>
    <row r="20" spans="1:2" s="23" customFormat="1" ht="15" x14ac:dyDescent="0.2">
      <c r="A20" s="792"/>
      <c r="B20" s="793"/>
    </row>
    <row r="21" spans="1:2" s="23" customFormat="1" ht="15" customHeight="1" x14ac:dyDescent="0.2">
      <c r="A21" s="788"/>
      <c r="B21" s="788"/>
    </row>
    <row r="22" spans="1:2" s="23" customFormat="1" ht="15" x14ac:dyDescent="0.2">
      <c r="A22" s="788"/>
      <c r="B22" s="788"/>
    </row>
    <row r="23" spans="1:2" s="23" customFormat="1" ht="15" x14ac:dyDescent="0.2">
      <c r="A23" s="788"/>
      <c r="B23" s="788"/>
    </row>
    <row r="24" spans="1:2" s="23" customFormat="1" ht="15" x14ac:dyDescent="0.2">
      <c r="A24" s="150"/>
      <c r="B24" s="150"/>
    </row>
  </sheetData>
  <mergeCells count="5">
    <mergeCell ref="A20:B20"/>
    <mergeCell ref="A21:B21"/>
    <mergeCell ref="A22:B22"/>
    <mergeCell ref="A23:B23"/>
    <mergeCell ref="B14:C14"/>
  </mergeCells>
  <pageMargins left="0.75" right="0.34" top="0.68" bottom="1" header="0.32" footer="0.5"/>
  <pageSetup paperSize="9" orientation="portrait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B14" sqref="B14:D14"/>
    </sheetView>
  </sheetViews>
  <sheetFormatPr defaultRowHeight="12.75" x14ac:dyDescent="0.2"/>
  <cols>
    <col min="1" max="1" width="3.7109375" customWidth="1"/>
    <col min="2" max="2" width="26" customWidth="1"/>
    <col min="3" max="3" width="12.28515625" customWidth="1"/>
    <col min="4" max="4" width="11.140625" customWidth="1"/>
    <col min="5" max="5" width="13.42578125" customWidth="1"/>
    <col min="6" max="6" width="12.28515625" customWidth="1"/>
    <col min="7" max="7" width="14.85546875" customWidth="1"/>
    <col min="8" max="8" width="13.7109375" customWidth="1"/>
  </cols>
  <sheetData>
    <row r="1" spans="1:7" s="24" customFormat="1" ht="15" x14ac:dyDescent="0.2">
      <c r="B1" s="889" t="s">
        <v>125</v>
      </c>
      <c r="C1" s="889"/>
      <c r="D1" s="889"/>
      <c r="E1" s="889"/>
      <c r="F1" s="889"/>
    </row>
    <row r="2" spans="1:7" s="24" customFormat="1" ht="15" x14ac:dyDescent="0.2">
      <c r="B2" s="850" t="s">
        <v>124</v>
      </c>
      <c r="C2" s="850"/>
      <c r="D2" s="850"/>
      <c r="E2" s="850"/>
      <c r="F2" s="850"/>
    </row>
    <row r="3" spans="1:7" s="24" customFormat="1" ht="15" x14ac:dyDescent="0.2"/>
    <row r="4" spans="1:7" s="24" customFormat="1" ht="15" x14ac:dyDescent="0.2"/>
    <row r="5" spans="1:7" s="24" customFormat="1" ht="15" x14ac:dyDescent="0.2"/>
    <row r="6" spans="1:7" ht="15.75" x14ac:dyDescent="0.25">
      <c r="A6" s="10"/>
      <c r="B6" s="10"/>
      <c r="C6" s="10"/>
      <c r="D6" s="10"/>
      <c r="E6" s="10"/>
    </row>
    <row r="7" spans="1:7" ht="65.45" customHeight="1" x14ac:dyDescent="0.2">
      <c r="A7" s="11"/>
      <c r="B7" s="787" t="s">
        <v>3804</v>
      </c>
      <c r="C7" s="787"/>
      <c r="D7" s="787"/>
      <c r="E7" s="787"/>
      <c r="F7" s="787"/>
      <c r="G7" s="25"/>
    </row>
    <row r="8" spans="1:7" x14ac:dyDescent="0.2">
      <c r="A8" s="12"/>
      <c r="B8" s="12"/>
      <c r="C8" s="12"/>
      <c r="D8" s="12"/>
      <c r="E8" s="12"/>
    </row>
    <row r="9" spans="1:7" s="53" customFormat="1" ht="105" customHeight="1" x14ac:dyDescent="0.2">
      <c r="A9" s="51" t="s">
        <v>122</v>
      </c>
      <c r="B9" s="51" t="s">
        <v>3805</v>
      </c>
      <c r="C9" s="51" t="s">
        <v>3808</v>
      </c>
      <c r="D9" s="51" t="s">
        <v>3809</v>
      </c>
      <c r="E9" s="51" t="s">
        <v>3810</v>
      </c>
      <c r="F9" s="52" t="s">
        <v>3811</v>
      </c>
    </row>
    <row r="10" spans="1:7" s="56" customFormat="1" ht="11.25" x14ac:dyDescent="0.2">
      <c r="A10" s="54">
        <v>1</v>
      </c>
      <c r="B10" s="55">
        <v>2</v>
      </c>
      <c r="C10" s="55"/>
      <c r="D10" s="55"/>
      <c r="E10" s="55"/>
      <c r="F10" s="54">
        <v>3</v>
      </c>
    </row>
    <row r="11" spans="1:7" s="59" customFormat="1" ht="53.45" customHeight="1" x14ac:dyDescent="0.2">
      <c r="A11" s="57">
        <v>1</v>
      </c>
      <c r="B11" s="58" t="s">
        <v>3807</v>
      </c>
      <c r="C11" s="58">
        <v>4</v>
      </c>
      <c r="D11" s="58">
        <v>12</v>
      </c>
      <c r="E11" s="58">
        <v>5</v>
      </c>
      <c r="F11" s="60">
        <f>C11*D11*(1/E11)</f>
        <v>9.6000000000000014</v>
      </c>
    </row>
    <row r="12" spans="1:7" s="59" customFormat="1" ht="60.6" customHeight="1" x14ac:dyDescent="0.2">
      <c r="A12" s="57">
        <v>2</v>
      </c>
      <c r="B12" s="58" t="s">
        <v>3806</v>
      </c>
      <c r="C12" s="58">
        <v>2</v>
      </c>
      <c r="D12" s="58">
        <v>12</v>
      </c>
      <c r="E12" s="58">
        <v>5</v>
      </c>
      <c r="F12" s="60">
        <f>C12*D12*(1/E12)</f>
        <v>4.8000000000000007</v>
      </c>
    </row>
    <row r="13" spans="1:7" x14ac:dyDescent="0.2">
      <c r="A13" s="38"/>
      <c r="B13" s="38"/>
      <c r="C13" s="38"/>
      <c r="D13" s="38"/>
      <c r="E13" s="38"/>
      <c r="F13" s="38"/>
    </row>
    <row r="14" spans="1:7" ht="15" x14ac:dyDescent="0.2">
      <c r="B14" s="791" t="s">
        <v>3847</v>
      </c>
      <c r="C14" s="791"/>
      <c r="D14" s="791"/>
    </row>
    <row r="15" spans="1:7" s="23" customFormat="1" ht="17.25" customHeight="1" x14ac:dyDescent="0.2">
      <c r="A15" s="21"/>
    </row>
    <row r="16" spans="1:7" s="23" customFormat="1" ht="18" customHeight="1" x14ac:dyDescent="0.2">
      <c r="A16" s="42"/>
      <c r="B16" s="25"/>
      <c r="C16" s="25"/>
      <c r="D16" s="25"/>
      <c r="E16" s="25"/>
    </row>
    <row r="17" spans="1:5" s="23" customFormat="1" ht="15" x14ac:dyDescent="0.2">
      <c r="A17" s="42"/>
      <c r="B17" s="48"/>
      <c r="C17" s="120"/>
      <c r="D17" s="120"/>
      <c r="E17" s="120"/>
    </row>
    <row r="18" spans="1:5" s="23" customFormat="1" ht="15" x14ac:dyDescent="0.2">
      <c r="A18" s="42"/>
      <c r="B18" s="48"/>
      <c r="C18" s="120"/>
      <c r="D18" s="120"/>
      <c r="E18" s="120"/>
    </row>
    <row r="19" spans="1:5" s="23" customFormat="1" ht="15" x14ac:dyDescent="0.2">
      <c r="A19" s="48"/>
    </row>
    <row r="20" spans="1:5" s="23" customFormat="1" ht="15" x14ac:dyDescent="0.2">
      <c r="A20" s="792"/>
      <c r="B20" s="793"/>
      <c r="C20" s="121"/>
      <c r="D20" s="121"/>
      <c r="E20" s="121"/>
    </row>
    <row r="21" spans="1:5" s="23" customFormat="1" ht="15" customHeight="1" x14ac:dyDescent="0.2">
      <c r="A21" s="788"/>
      <c r="B21" s="788"/>
      <c r="C21" s="120"/>
      <c r="D21" s="120"/>
      <c r="E21" s="120"/>
    </row>
    <row r="22" spans="1:5" s="23" customFormat="1" ht="15" x14ac:dyDescent="0.2">
      <c r="A22" s="788"/>
      <c r="B22" s="788"/>
      <c r="C22" s="120"/>
      <c r="D22" s="120"/>
      <c r="E22" s="120"/>
    </row>
    <row r="23" spans="1:5" s="23" customFormat="1" ht="15" x14ac:dyDescent="0.2">
      <c r="A23" s="788"/>
      <c r="B23" s="788"/>
      <c r="C23" s="120"/>
      <c r="D23" s="120"/>
      <c r="E23" s="120"/>
    </row>
    <row r="24" spans="1:5" s="23" customFormat="1" ht="15" x14ac:dyDescent="0.2">
      <c r="A24" s="48"/>
      <c r="B24" s="48"/>
      <c r="C24" s="120"/>
      <c r="D24" s="120"/>
      <c r="E24" s="120"/>
    </row>
  </sheetData>
  <mergeCells count="8">
    <mergeCell ref="A23:B23"/>
    <mergeCell ref="B1:F1"/>
    <mergeCell ref="B2:F2"/>
    <mergeCell ref="B7:F7"/>
    <mergeCell ref="A20:B20"/>
    <mergeCell ref="A21:B21"/>
    <mergeCell ref="A22:B22"/>
    <mergeCell ref="B14:D14"/>
  </mergeCells>
  <pageMargins left="0.72" right="0.34" top="0.68" bottom="1" header="0.32" footer="0.5"/>
  <pageSetup paperSize="9" orientation="portrait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D14" sqref="D14"/>
    </sheetView>
  </sheetViews>
  <sheetFormatPr defaultRowHeight="12.75" x14ac:dyDescent="0.2"/>
  <cols>
    <col min="1" max="1" width="3.7109375" customWidth="1"/>
    <col min="2" max="2" width="39.5703125" customWidth="1"/>
    <col min="3" max="3" width="15.5703125" customWidth="1"/>
    <col min="4" max="4" width="24" customWidth="1"/>
    <col min="5" max="5" width="14.85546875" customWidth="1"/>
    <col min="6" max="6" width="13.7109375" customWidth="1"/>
  </cols>
  <sheetData>
    <row r="1" spans="1:5" s="24" customFormat="1" ht="15" x14ac:dyDescent="0.2">
      <c r="B1" s="889" t="s">
        <v>125</v>
      </c>
      <c r="C1" s="889"/>
      <c r="D1" s="889"/>
    </row>
    <row r="2" spans="1:5" s="24" customFormat="1" ht="15" x14ac:dyDescent="0.2">
      <c r="B2" s="850" t="s">
        <v>124</v>
      </c>
      <c r="C2" s="850"/>
      <c r="D2" s="850"/>
    </row>
    <row r="3" spans="1:5" s="24" customFormat="1" ht="15" x14ac:dyDescent="0.2"/>
    <row r="4" spans="1:5" s="24" customFormat="1" ht="15" x14ac:dyDescent="0.2"/>
    <row r="5" spans="1:5" s="24" customFormat="1" ht="15" x14ac:dyDescent="0.2"/>
    <row r="6" spans="1:5" ht="15.75" x14ac:dyDescent="0.25">
      <c r="A6" s="10"/>
      <c r="B6" s="10"/>
      <c r="C6" s="10"/>
    </row>
    <row r="7" spans="1:5" ht="48" customHeight="1" x14ac:dyDescent="0.2">
      <c r="A7" s="11"/>
      <c r="B7" s="787" t="s">
        <v>137</v>
      </c>
      <c r="C7" s="787"/>
      <c r="D7" s="787"/>
      <c r="E7" s="25"/>
    </row>
    <row r="8" spans="1:5" x14ac:dyDescent="0.2">
      <c r="A8" s="12"/>
      <c r="B8" s="12"/>
      <c r="C8" s="12"/>
    </row>
    <row r="9" spans="1:5" s="53" customFormat="1" ht="31.15" customHeight="1" x14ac:dyDescent="0.2">
      <c r="A9" s="51" t="s">
        <v>122</v>
      </c>
      <c r="B9" s="51" t="s">
        <v>3733</v>
      </c>
      <c r="C9" s="51" t="s">
        <v>134</v>
      </c>
      <c r="D9" s="52" t="s">
        <v>133</v>
      </c>
    </row>
    <row r="10" spans="1:5" s="56" customFormat="1" ht="11.25" x14ac:dyDescent="0.2">
      <c r="A10" s="54">
        <v>1</v>
      </c>
      <c r="B10" s="55">
        <v>2</v>
      </c>
      <c r="C10" s="55"/>
      <c r="D10" s="54">
        <v>3</v>
      </c>
    </row>
    <row r="11" spans="1:5" s="59" customFormat="1" ht="13.9" customHeight="1" x14ac:dyDescent="0.2">
      <c r="A11" s="57">
        <v>1</v>
      </c>
      <c r="B11" s="58" t="s">
        <v>129</v>
      </c>
      <c r="C11" s="58" t="s">
        <v>135</v>
      </c>
      <c r="D11" s="60">
        <v>10</v>
      </c>
    </row>
    <row r="12" spans="1:5" s="59" customFormat="1" x14ac:dyDescent="0.2">
      <c r="A12" s="57">
        <v>2</v>
      </c>
      <c r="B12" s="58" t="s">
        <v>130</v>
      </c>
      <c r="C12" s="58" t="s">
        <v>45</v>
      </c>
      <c r="D12" s="60">
        <v>16</v>
      </c>
    </row>
    <row r="13" spans="1:5" s="59" customFormat="1" x14ac:dyDescent="0.2">
      <c r="A13" s="57">
        <v>3</v>
      </c>
      <c r="B13" s="58" t="s">
        <v>131</v>
      </c>
      <c r="C13" s="58" t="s">
        <v>45</v>
      </c>
      <c r="D13" s="60">
        <v>4</v>
      </c>
    </row>
    <row r="14" spans="1:5" s="59" customFormat="1" ht="13.9" customHeight="1" x14ac:dyDescent="0.2">
      <c r="A14" s="57">
        <v>1</v>
      </c>
      <c r="B14" s="58" t="s">
        <v>132</v>
      </c>
      <c r="C14" s="58" t="s">
        <v>136</v>
      </c>
      <c r="D14" s="60">
        <v>4</v>
      </c>
    </row>
    <row r="16" spans="1:5" s="23" customFormat="1" ht="17.25" customHeight="1" x14ac:dyDescent="0.2">
      <c r="A16" s="21"/>
      <c r="B16" s="791" t="s">
        <v>3847</v>
      </c>
      <c r="C16" s="791"/>
      <c r="D16" s="791"/>
    </row>
    <row r="17" spans="1:3" s="23" customFormat="1" ht="18" customHeight="1" x14ac:dyDescent="0.2">
      <c r="A17" s="42"/>
      <c r="B17" s="25"/>
      <c r="C17" s="25"/>
    </row>
    <row r="18" spans="1:3" s="23" customFormat="1" ht="15" x14ac:dyDescent="0.2">
      <c r="A18" s="42"/>
      <c r="B18" s="49"/>
      <c r="C18" s="49"/>
    </row>
    <row r="19" spans="1:3" s="23" customFormat="1" ht="15" x14ac:dyDescent="0.2">
      <c r="A19" s="42"/>
      <c r="B19" s="49"/>
      <c r="C19" s="49"/>
    </row>
    <row r="20" spans="1:3" s="23" customFormat="1" ht="15" x14ac:dyDescent="0.2">
      <c r="A20" s="49"/>
    </row>
    <row r="21" spans="1:3" s="23" customFormat="1" ht="15" x14ac:dyDescent="0.2">
      <c r="A21" s="792"/>
      <c r="B21" s="793"/>
      <c r="C21" s="50"/>
    </row>
    <row r="22" spans="1:3" s="23" customFormat="1" ht="15" customHeight="1" x14ac:dyDescent="0.2">
      <c r="A22" s="788"/>
      <c r="B22" s="788"/>
      <c r="C22" s="49"/>
    </row>
    <row r="23" spans="1:3" s="23" customFormat="1" ht="15" x14ac:dyDescent="0.2">
      <c r="A23" s="788"/>
      <c r="B23" s="788"/>
      <c r="C23" s="49"/>
    </row>
    <row r="24" spans="1:3" s="23" customFormat="1" ht="15" x14ac:dyDescent="0.2">
      <c r="A24" s="788"/>
      <c r="B24" s="788"/>
      <c r="C24" s="49"/>
    </row>
    <row r="25" spans="1:3" s="23" customFormat="1" ht="15" x14ac:dyDescent="0.2">
      <c r="A25" s="49"/>
      <c r="B25" s="49"/>
      <c r="C25" s="49"/>
    </row>
  </sheetData>
  <mergeCells count="8">
    <mergeCell ref="A24:B24"/>
    <mergeCell ref="B1:D1"/>
    <mergeCell ref="B2:D2"/>
    <mergeCell ref="B7:D7"/>
    <mergeCell ref="A21:B21"/>
    <mergeCell ref="A22:B22"/>
    <mergeCell ref="A23:B23"/>
    <mergeCell ref="B16:D16"/>
  </mergeCells>
  <pageMargins left="0.75" right="0.34" top="0.68" bottom="1" header="0.32" footer="0.5"/>
  <pageSetup paperSize="9" orientation="portrait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28"/>
  <sheetViews>
    <sheetView view="pageBreakPreview" zoomScale="110" zoomScaleSheetLayoutView="110" workbookViewId="0">
      <selection activeCell="F1" sqref="F1:H1"/>
    </sheetView>
  </sheetViews>
  <sheetFormatPr defaultRowHeight="12.75" x14ac:dyDescent="0.2"/>
  <cols>
    <col min="1" max="1" width="3.7109375" customWidth="1"/>
    <col min="2" max="2" width="31.28515625" customWidth="1"/>
    <col min="3" max="3" width="12.28515625" customWidth="1"/>
    <col min="4" max="4" width="12.85546875" customWidth="1"/>
    <col min="5" max="5" width="12.28515625" customWidth="1"/>
    <col min="6" max="6" width="12.140625" customWidth="1"/>
    <col min="7" max="7" width="12.42578125" customWidth="1"/>
    <col min="8" max="8" width="13.7109375" customWidth="1"/>
  </cols>
  <sheetData>
    <row r="1" spans="1:9" s="24" customFormat="1" ht="15" x14ac:dyDescent="0.2">
      <c r="B1" s="850"/>
      <c r="C1" s="850"/>
      <c r="D1" s="850"/>
      <c r="F1" s="801" t="s">
        <v>4729</v>
      </c>
      <c r="G1" s="801"/>
      <c r="H1" s="801"/>
    </row>
    <row r="2" spans="1:9" s="24" customFormat="1" ht="15" x14ac:dyDescent="0.2">
      <c r="B2" s="850"/>
      <c r="C2" s="850"/>
      <c r="D2" s="850"/>
      <c r="F2" s="801" t="s">
        <v>4586</v>
      </c>
      <c r="G2" s="801"/>
      <c r="H2" s="801"/>
      <c r="I2" s="801"/>
    </row>
    <row r="3" spans="1:9" s="24" customFormat="1" ht="15" x14ac:dyDescent="0.2"/>
    <row r="4" spans="1:9" s="24" customFormat="1" ht="15" x14ac:dyDescent="0.2"/>
    <row r="5" spans="1:9" s="24" customFormat="1" ht="15" x14ac:dyDescent="0.2"/>
    <row r="6" spans="1:9" ht="15.75" x14ac:dyDescent="0.25">
      <c r="A6" s="10"/>
      <c r="B6" s="10"/>
      <c r="C6" s="10"/>
    </row>
    <row r="7" spans="1:9" ht="48" customHeight="1" x14ac:dyDescent="0.2">
      <c r="A7" s="11"/>
      <c r="B7" s="823" t="s">
        <v>3841</v>
      </c>
      <c r="C7" s="823"/>
      <c r="D7" s="823"/>
      <c r="E7" s="823"/>
      <c r="F7" s="823"/>
      <c r="G7" s="823"/>
      <c r="H7" s="823"/>
    </row>
    <row r="8" spans="1:9" x14ac:dyDescent="0.2">
      <c r="A8" s="12"/>
      <c r="B8" s="12"/>
      <c r="C8" s="12"/>
    </row>
    <row r="9" spans="1:9" s="53" customFormat="1" ht="58.9" customHeight="1" x14ac:dyDescent="0.2">
      <c r="A9" s="51" t="s">
        <v>122</v>
      </c>
      <c r="B9" s="51" t="s">
        <v>3733</v>
      </c>
      <c r="C9" s="51" t="s">
        <v>134</v>
      </c>
      <c r="D9" s="367" t="s">
        <v>133</v>
      </c>
      <c r="E9" s="291" t="s">
        <v>4369</v>
      </c>
      <c r="F9" s="291" t="s">
        <v>4580</v>
      </c>
      <c r="G9" s="291" t="s">
        <v>4360</v>
      </c>
      <c r="H9" s="291" t="s">
        <v>3833</v>
      </c>
    </row>
    <row r="10" spans="1:9" s="56" customFormat="1" ht="11.25" x14ac:dyDescent="0.2">
      <c r="A10" s="54">
        <v>1</v>
      </c>
      <c r="B10" s="55">
        <v>2</v>
      </c>
      <c r="C10" s="54">
        <v>3</v>
      </c>
      <c r="D10" s="55">
        <v>4</v>
      </c>
      <c r="E10" s="54">
        <v>5</v>
      </c>
      <c r="F10" s="55">
        <v>6</v>
      </c>
      <c r="G10" s="54">
        <v>7</v>
      </c>
      <c r="H10" s="54">
        <v>8</v>
      </c>
    </row>
    <row r="11" spans="1:9" s="59" customFormat="1" ht="13.9" customHeight="1" x14ac:dyDescent="0.2">
      <c r="A11" s="57">
        <v>1</v>
      </c>
      <c r="B11" s="135" t="s">
        <v>129</v>
      </c>
      <c r="C11" s="135" t="s">
        <v>135</v>
      </c>
      <c r="D11" s="60">
        <v>10</v>
      </c>
      <c r="E11" s="240">
        <v>1500</v>
      </c>
      <c r="F11" s="229">
        <v>1</v>
      </c>
      <c r="G11" s="205">
        <f t="shared" ref="G11:G17" si="0">E11*F11</f>
        <v>1500</v>
      </c>
      <c r="H11" s="205">
        <f>D11*G11</f>
        <v>15000</v>
      </c>
    </row>
    <row r="12" spans="1:9" s="59" customFormat="1" x14ac:dyDescent="0.2">
      <c r="A12" s="57">
        <v>2</v>
      </c>
      <c r="B12" s="135" t="s">
        <v>130</v>
      </c>
      <c r="C12" s="135" t="s">
        <v>45</v>
      </c>
      <c r="D12" s="60">
        <v>16</v>
      </c>
      <c r="E12" s="240">
        <v>3815</v>
      </c>
      <c r="F12" s="229">
        <v>1</v>
      </c>
      <c r="G12" s="205">
        <f t="shared" si="0"/>
        <v>3815</v>
      </c>
      <c r="H12" s="205">
        <f t="shared" ref="H12:H17" si="1">D12*G12</f>
        <v>61040</v>
      </c>
    </row>
    <row r="13" spans="1:9" s="59" customFormat="1" x14ac:dyDescent="0.2">
      <c r="A13" s="57">
        <v>3</v>
      </c>
      <c r="B13" s="135" t="s">
        <v>131</v>
      </c>
      <c r="C13" s="135" t="s">
        <v>45</v>
      </c>
      <c r="D13" s="60">
        <v>4</v>
      </c>
      <c r="E13" s="240">
        <v>6480</v>
      </c>
      <c r="F13" s="229">
        <v>1</v>
      </c>
      <c r="G13" s="205">
        <f t="shared" si="0"/>
        <v>6480</v>
      </c>
      <c r="H13" s="205">
        <f t="shared" si="1"/>
        <v>25920</v>
      </c>
    </row>
    <row r="14" spans="1:9" s="59" customFormat="1" ht="13.9" customHeight="1" x14ac:dyDescent="0.2">
      <c r="A14" s="57">
        <v>4</v>
      </c>
      <c r="B14" s="135" t="s">
        <v>132</v>
      </c>
      <c r="C14" s="135" t="s">
        <v>136</v>
      </c>
      <c r="D14" s="60">
        <v>4</v>
      </c>
      <c r="E14" s="240">
        <v>146</v>
      </c>
      <c r="F14" s="229">
        <v>1</v>
      </c>
      <c r="G14" s="205">
        <f t="shared" si="0"/>
        <v>146</v>
      </c>
      <c r="H14" s="205">
        <f t="shared" si="1"/>
        <v>584</v>
      </c>
    </row>
    <row r="15" spans="1:9" s="59" customFormat="1" ht="13.9" hidden="1" customHeight="1" x14ac:dyDescent="0.2">
      <c r="A15" s="479">
        <v>5</v>
      </c>
      <c r="B15" s="480" t="s">
        <v>4351</v>
      </c>
      <c r="C15" s="480" t="s">
        <v>135</v>
      </c>
      <c r="D15" s="481">
        <v>10</v>
      </c>
      <c r="E15" s="240">
        <v>1340</v>
      </c>
      <c r="F15" s="483">
        <v>1</v>
      </c>
      <c r="G15" s="482">
        <f t="shared" si="0"/>
        <v>1340</v>
      </c>
      <c r="H15" s="482">
        <f t="shared" si="1"/>
        <v>13400</v>
      </c>
    </row>
    <row r="16" spans="1:9" s="59" customFormat="1" ht="13.9" hidden="1" customHeight="1" x14ac:dyDescent="0.2">
      <c r="A16" s="479">
        <v>6</v>
      </c>
      <c r="B16" s="480" t="s">
        <v>4352</v>
      </c>
      <c r="C16" s="480" t="s">
        <v>135</v>
      </c>
      <c r="D16" s="481">
        <v>10</v>
      </c>
      <c r="E16" s="240">
        <v>1330</v>
      </c>
      <c r="F16" s="483">
        <v>1</v>
      </c>
      <c r="G16" s="482">
        <f t="shared" si="0"/>
        <v>1330</v>
      </c>
      <c r="H16" s="482">
        <f t="shared" si="1"/>
        <v>13300</v>
      </c>
    </row>
    <row r="17" spans="1:8" s="59" customFormat="1" ht="13.9" hidden="1" customHeight="1" x14ac:dyDescent="0.2">
      <c r="A17" s="479">
        <v>7</v>
      </c>
      <c r="B17" s="480" t="s">
        <v>4350</v>
      </c>
      <c r="C17" s="480" t="s">
        <v>45</v>
      </c>
      <c r="D17" s="481">
        <v>4</v>
      </c>
      <c r="E17" s="240">
        <v>3300</v>
      </c>
      <c r="F17" s="483">
        <v>1</v>
      </c>
      <c r="G17" s="482">
        <f t="shared" si="0"/>
        <v>3300</v>
      </c>
      <c r="H17" s="482">
        <f t="shared" si="1"/>
        <v>13200</v>
      </c>
    </row>
    <row r="18" spans="1:8" ht="13.5" customHeight="1" x14ac:dyDescent="0.2">
      <c r="A18" s="57"/>
      <c r="B18" s="135" t="s">
        <v>3825</v>
      </c>
      <c r="C18" s="81"/>
      <c r="D18" s="81"/>
      <c r="E18" s="399"/>
      <c r="F18" s="186"/>
      <c r="G18" s="186"/>
      <c r="H18" s="240">
        <f>SUM(H11:H14)</f>
        <v>102544</v>
      </c>
    </row>
    <row r="19" spans="1:8" s="23" customFormat="1" ht="17.25" customHeight="1" x14ac:dyDescent="0.2">
      <c r="A19" s="21"/>
    </row>
    <row r="20" spans="1:8" s="23" customFormat="1" ht="18" customHeight="1" x14ac:dyDescent="0.2">
      <c r="A20" s="42"/>
      <c r="B20" s="25"/>
      <c r="C20" s="25"/>
    </row>
    <row r="21" spans="1:8" s="23" customFormat="1" ht="15" x14ac:dyDescent="0.2">
      <c r="A21" s="42"/>
      <c r="B21" s="123"/>
      <c r="C21" s="123"/>
    </row>
    <row r="22" spans="1:8" s="23" customFormat="1" ht="15" x14ac:dyDescent="0.2">
      <c r="A22" s="42"/>
      <c r="B22" s="123"/>
      <c r="C22" s="123"/>
    </row>
    <row r="23" spans="1:8" s="23" customFormat="1" ht="15" x14ac:dyDescent="0.2">
      <c r="A23" s="123"/>
    </row>
    <row r="24" spans="1:8" s="23" customFormat="1" ht="15" x14ac:dyDescent="0.2">
      <c r="A24" s="792"/>
      <c r="B24" s="793"/>
      <c r="C24" s="124"/>
    </row>
    <row r="25" spans="1:8" s="23" customFormat="1" ht="15" customHeight="1" x14ac:dyDescent="0.2">
      <c r="A25" s="788"/>
      <c r="B25" s="788"/>
      <c r="C25" s="123"/>
    </row>
    <row r="26" spans="1:8" s="23" customFormat="1" ht="15" x14ac:dyDescent="0.2">
      <c r="A26" s="788"/>
      <c r="B26" s="788"/>
      <c r="C26" s="123"/>
    </row>
    <row r="27" spans="1:8" s="23" customFormat="1" ht="15" x14ac:dyDescent="0.2">
      <c r="A27" s="788"/>
      <c r="B27" s="788"/>
      <c r="C27" s="123"/>
    </row>
    <row r="28" spans="1:8" s="23" customFormat="1" ht="15" x14ac:dyDescent="0.2">
      <c r="A28" s="123"/>
      <c r="B28" s="123"/>
      <c r="C28" s="123"/>
    </row>
  </sheetData>
  <mergeCells count="9">
    <mergeCell ref="A27:B27"/>
    <mergeCell ref="B1:D1"/>
    <mergeCell ref="B2:D2"/>
    <mergeCell ref="A24:B24"/>
    <mergeCell ref="A25:B25"/>
    <mergeCell ref="A26:B26"/>
    <mergeCell ref="B7:H7"/>
    <mergeCell ref="F1:H1"/>
    <mergeCell ref="F2:I2"/>
  </mergeCells>
  <pageMargins left="0.75" right="0.34" top="0.68" bottom="1" header="0.32" footer="0.5"/>
  <pageSetup paperSize="9" orientation="landscape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workbookViewId="0">
      <selection activeCell="B39" sqref="B39:D39"/>
    </sheetView>
  </sheetViews>
  <sheetFormatPr defaultColWidth="8.85546875" defaultRowHeight="12.75" x14ac:dyDescent="0.2"/>
  <cols>
    <col min="1" max="1" width="3.7109375" style="98" customWidth="1"/>
    <col min="2" max="2" width="39.5703125" style="98" customWidth="1"/>
    <col min="3" max="3" width="16.28515625" style="98" customWidth="1"/>
    <col min="4" max="4" width="13.28515625" style="98" customWidth="1"/>
    <col min="5" max="5" width="15.5703125" style="98" customWidth="1"/>
    <col min="6" max="6" width="19.28515625" style="98" customWidth="1"/>
    <col min="7" max="7" width="14.85546875" style="98" customWidth="1"/>
    <col min="8" max="8" width="13.7109375" style="98" customWidth="1"/>
    <col min="9" max="16384" width="8.85546875" style="98"/>
  </cols>
  <sheetData>
    <row r="1" spans="1:7" s="96" customFormat="1" ht="15" x14ac:dyDescent="0.2">
      <c r="B1" s="889" t="s">
        <v>125</v>
      </c>
      <c r="C1" s="889"/>
      <c r="D1" s="889"/>
      <c r="E1" s="889"/>
      <c r="F1" s="889"/>
    </row>
    <row r="2" spans="1:7" s="96" customFormat="1" ht="15" x14ac:dyDescent="0.2">
      <c r="B2" s="850" t="s">
        <v>124</v>
      </c>
      <c r="C2" s="850"/>
      <c r="D2" s="850"/>
      <c r="E2" s="850"/>
      <c r="F2" s="850"/>
    </row>
    <row r="3" spans="1:7" s="96" customFormat="1" x14ac:dyDescent="0.2"/>
    <row r="4" spans="1:7" s="96" customFormat="1" x14ac:dyDescent="0.2"/>
    <row r="5" spans="1:7" s="96" customFormat="1" x14ac:dyDescent="0.2"/>
    <row r="6" spans="1:7" x14ac:dyDescent="0.2">
      <c r="A6" s="97"/>
      <c r="B6" s="97"/>
      <c r="C6" s="97"/>
      <c r="D6" s="97"/>
      <c r="E6" s="97"/>
    </row>
    <row r="7" spans="1:7" ht="48" customHeight="1" x14ac:dyDescent="0.2">
      <c r="A7" s="11"/>
      <c r="B7" s="787" t="s">
        <v>3762</v>
      </c>
      <c r="C7" s="787"/>
      <c r="D7" s="787"/>
      <c r="E7" s="787"/>
      <c r="F7" s="787"/>
      <c r="G7" s="99"/>
    </row>
    <row r="8" spans="1:7" x14ac:dyDescent="0.2">
      <c r="A8" s="12"/>
      <c r="B8" s="12"/>
      <c r="C8" s="12"/>
      <c r="D8" s="12"/>
      <c r="E8" s="12"/>
    </row>
    <row r="9" spans="1:7" s="101" customFormat="1" ht="43.15" customHeight="1" x14ac:dyDescent="0.2">
      <c r="A9" s="51" t="s">
        <v>122</v>
      </c>
      <c r="B9" s="51" t="s">
        <v>3733</v>
      </c>
      <c r="C9" s="51" t="s">
        <v>3763</v>
      </c>
      <c r="D9" s="51" t="s">
        <v>3764</v>
      </c>
      <c r="E9" s="51" t="s">
        <v>134</v>
      </c>
      <c r="F9" s="100" t="s">
        <v>133</v>
      </c>
    </row>
    <row r="10" spans="1:7" s="104" customFormat="1" x14ac:dyDescent="0.2">
      <c r="A10" s="102">
        <v>1</v>
      </c>
      <c r="B10" s="103">
        <v>2</v>
      </c>
      <c r="C10" s="102">
        <v>3</v>
      </c>
      <c r="D10" s="103">
        <v>4</v>
      </c>
      <c r="E10" s="102">
        <v>5</v>
      </c>
      <c r="F10" s="102">
        <v>6</v>
      </c>
    </row>
    <row r="11" spans="1:7" s="104" customFormat="1" x14ac:dyDescent="0.2">
      <c r="A11" s="102"/>
      <c r="B11" s="890" t="s">
        <v>3765</v>
      </c>
      <c r="C11" s="891"/>
      <c r="D11" s="891"/>
      <c r="E11" s="891"/>
      <c r="F11" s="892"/>
    </row>
    <row r="12" spans="1:7" s="105" customFormat="1" ht="31.15" customHeight="1" x14ac:dyDescent="0.2">
      <c r="A12" s="114">
        <v>1</v>
      </c>
      <c r="B12" s="112" t="s">
        <v>3766</v>
      </c>
      <c r="C12" s="110" t="s">
        <v>3786</v>
      </c>
      <c r="D12" s="110"/>
      <c r="E12" s="110" t="s">
        <v>45</v>
      </c>
      <c r="F12" s="113">
        <v>1</v>
      </c>
    </row>
    <row r="13" spans="1:7" s="105" customFormat="1" x14ac:dyDescent="0.2">
      <c r="A13" s="114">
        <v>2</v>
      </c>
      <c r="B13" s="112" t="s">
        <v>2961</v>
      </c>
      <c r="C13" s="110" t="s">
        <v>3787</v>
      </c>
      <c r="D13" s="110" t="s">
        <v>3793</v>
      </c>
      <c r="E13" s="110" t="s">
        <v>45</v>
      </c>
      <c r="F13" s="113">
        <v>1</v>
      </c>
    </row>
    <row r="14" spans="1:7" s="105" customFormat="1" x14ac:dyDescent="0.2">
      <c r="A14" s="114">
        <v>3</v>
      </c>
      <c r="B14" s="112" t="s">
        <v>2961</v>
      </c>
      <c r="C14" s="110" t="s">
        <v>3791</v>
      </c>
      <c r="D14" s="110" t="s">
        <v>3794</v>
      </c>
      <c r="E14" s="110" t="s">
        <v>45</v>
      </c>
      <c r="F14" s="113">
        <v>1</v>
      </c>
    </row>
    <row r="15" spans="1:7" s="105" customFormat="1" ht="13.9" customHeight="1" x14ac:dyDescent="0.2">
      <c r="A15" s="114">
        <v>4</v>
      </c>
      <c r="B15" s="112" t="s">
        <v>2961</v>
      </c>
      <c r="C15" s="110" t="s">
        <v>3791</v>
      </c>
      <c r="D15" s="110" t="s">
        <v>3795</v>
      </c>
      <c r="E15" s="110" t="s">
        <v>45</v>
      </c>
      <c r="F15" s="113">
        <v>1</v>
      </c>
    </row>
    <row r="16" spans="1:7" s="105" customFormat="1" x14ac:dyDescent="0.2">
      <c r="A16" s="114">
        <v>5</v>
      </c>
      <c r="B16" s="112" t="s">
        <v>3767</v>
      </c>
      <c r="C16" s="110" t="s">
        <v>3791</v>
      </c>
      <c r="D16" s="110" t="s">
        <v>3796</v>
      </c>
      <c r="E16" s="110" t="s">
        <v>45</v>
      </c>
      <c r="F16" s="113">
        <v>1</v>
      </c>
    </row>
    <row r="17" spans="1:7" s="105" customFormat="1" x14ac:dyDescent="0.2">
      <c r="A17" s="114">
        <v>6</v>
      </c>
      <c r="B17" s="112" t="s">
        <v>3767</v>
      </c>
      <c r="C17" s="110" t="s">
        <v>3791</v>
      </c>
      <c r="D17" s="110" t="s">
        <v>3794</v>
      </c>
      <c r="E17" s="110" t="s">
        <v>45</v>
      </c>
      <c r="F17" s="113">
        <v>2</v>
      </c>
    </row>
    <row r="18" spans="1:7" s="105" customFormat="1" ht="13.9" customHeight="1" x14ac:dyDescent="0.2">
      <c r="A18" s="114">
        <v>7</v>
      </c>
      <c r="B18" s="112" t="s">
        <v>3767</v>
      </c>
      <c r="C18" s="110" t="s">
        <v>3791</v>
      </c>
      <c r="D18" s="110" t="s">
        <v>3795</v>
      </c>
      <c r="E18" s="110" t="s">
        <v>45</v>
      </c>
      <c r="F18" s="113">
        <v>2</v>
      </c>
    </row>
    <row r="19" spans="1:7" s="106" customFormat="1" ht="38.25" x14ac:dyDescent="0.2">
      <c r="A19" s="114">
        <v>8</v>
      </c>
      <c r="B19" s="109" t="s">
        <v>3768</v>
      </c>
      <c r="C19" s="110" t="s">
        <v>3788</v>
      </c>
      <c r="D19" s="110"/>
      <c r="E19" s="110" t="s">
        <v>45</v>
      </c>
      <c r="F19" s="108">
        <v>1</v>
      </c>
    </row>
    <row r="20" spans="1:7" s="106" customFormat="1" ht="38.25" x14ac:dyDescent="0.2">
      <c r="A20" s="114">
        <v>9</v>
      </c>
      <c r="B20" s="109" t="s">
        <v>3769</v>
      </c>
      <c r="C20" s="110" t="s">
        <v>3789</v>
      </c>
      <c r="D20" s="110" t="s">
        <v>3817</v>
      </c>
      <c r="E20" s="110" t="s">
        <v>3792</v>
      </c>
      <c r="F20" s="108">
        <v>1</v>
      </c>
    </row>
    <row r="21" spans="1:7" s="106" customFormat="1" ht="25.5" x14ac:dyDescent="0.2">
      <c r="A21" s="114">
        <v>10</v>
      </c>
      <c r="B21" s="109" t="s">
        <v>3770</v>
      </c>
      <c r="C21" s="110" t="s">
        <v>3790</v>
      </c>
      <c r="D21" s="110" t="s">
        <v>3818</v>
      </c>
      <c r="E21" s="110" t="s">
        <v>45</v>
      </c>
      <c r="F21" s="108">
        <v>2</v>
      </c>
    </row>
    <row r="22" spans="1:7" s="106" customFormat="1" ht="25.5" x14ac:dyDescent="0.2">
      <c r="A22" s="114">
        <v>11</v>
      </c>
      <c r="B22" s="109" t="s">
        <v>3770</v>
      </c>
      <c r="C22" s="110" t="s">
        <v>3790</v>
      </c>
      <c r="D22" s="110" t="s">
        <v>3819</v>
      </c>
      <c r="E22" s="110" t="s">
        <v>45</v>
      </c>
      <c r="F22" s="108">
        <v>10</v>
      </c>
    </row>
    <row r="23" spans="1:7" s="106" customFormat="1" ht="15" customHeight="1" x14ac:dyDescent="0.2">
      <c r="A23" s="114">
        <v>12</v>
      </c>
      <c r="B23" s="109" t="s">
        <v>3771</v>
      </c>
      <c r="C23" s="110" t="s">
        <v>3790</v>
      </c>
      <c r="D23" s="110" t="s">
        <v>3820</v>
      </c>
      <c r="E23" s="110" t="s">
        <v>45</v>
      </c>
      <c r="F23" s="108">
        <v>1</v>
      </c>
    </row>
    <row r="24" spans="1:7" s="106" customFormat="1" x14ac:dyDescent="0.2">
      <c r="A24" s="114"/>
      <c r="B24" s="893" t="s">
        <v>3772</v>
      </c>
      <c r="C24" s="894"/>
      <c r="D24" s="894"/>
      <c r="E24" s="894"/>
      <c r="F24" s="895"/>
    </row>
    <row r="25" spans="1:7" s="106" customFormat="1" ht="56.45" customHeight="1" x14ac:dyDescent="0.2">
      <c r="A25" s="114">
        <v>1</v>
      </c>
      <c r="B25" s="109" t="s">
        <v>3773</v>
      </c>
      <c r="C25" s="110" t="s">
        <v>3790</v>
      </c>
      <c r="D25" s="108"/>
      <c r="E25" s="110" t="s">
        <v>45</v>
      </c>
      <c r="F25" s="108">
        <v>1</v>
      </c>
    </row>
    <row r="26" spans="1:7" s="106" customFormat="1" x14ac:dyDescent="0.2">
      <c r="A26" s="109"/>
      <c r="B26" s="896" t="s">
        <v>3774</v>
      </c>
      <c r="C26" s="897"/>
      <c r="D26" s="897"/>
      <c r="E26" s="897"/>
      <c r="F26" s="898"/>
    </row>
    <row r="27" spans="1:7" ht="38.25" x14ac:dyDescent="0.2">
      <c r="A27" s="115">
        <v>1</v>
      </c>
      <c r="B27" s="116" t="s">
        <v>3775</v>
      </c>
      <c r="C27" s="110" t="s">
        <v>3797</v>
      </c>
      <c r="D27" s="118"/>
      <c r="E27" s="110" t="s">
        <v>45</v>
      </c>
      <c r="F27" s="108">
        <v>1</v>
      </c>
      <c r="G27" s="99"/>
    </row>
    <row r="28" spans="1:7" ht="38.25" x14ac:dyDescent="0.2">
      <c r="A28" s="115">
        <v>2</v>
      </c>
      <c r="B28" s="116" t="s">
        <v>3776</v>
      </c>
      <c r="C28" s="110" t="s">
        <v>3790</v>
      </c>
      <c r="D28" s="119" t="s">
        <v>3816</v>
      </c>
      <c r="E28" s="110" t="s">
        <v>45</v>
      </c>
      <c r="F28" s="118">
        <v>5</v>
      </c>
      <c r="G28" s="99"/>
    </row>
    <row r="29" spans="1:7" s="111" customFormat="1" ht="83.45" customHeight="1" x14ac:dyDescent="0.2">
      <c r="A29" s="115">
        <v>3</v>
      </c>
      <c r="B29" s="116" t="s">
        <v>3777</v>
      </c>
      <c r="C29" s="110" t="s">
        <v>3800</v>
      </c>
      <c r="D29" s="119" t="s">
        <v>3815</v>
      </c>
      <c r="E29" s="119" t="s">
        <v>3798</v>
      </c>
      <c r="F29" s="118">
        <v>2</v>
      </c>
      <c r="G29" s="107"/>
    </row>
    <row r="30" spans="1:7" ht="38.25" x14ac:dyDescent="0.2">
      <c r="A30" s="115">
        <v>4</v>
      </c>
      <c r="B30" s="117" t="s">
        <v>3778</v>
      </c>
      <c r="C30" s="110" t="s">
        <v>3790</v>
      </c>
      <c r="D30" s="118"/>
      <c r="E30" s="119" t="s">
        <v>45</v>
      </c>
      <c r="F30" s="118">
        <v>2</v>
      </c>
      <c r="G30" s="99"/>
    </row>
    <row r="31" spans="1:7" ht="38.25" x14ac:dyDescent="0.2">
      <c r="A31" s="115">
        <v>5</v>
      </c>
      <c r="B31" s="117" t="s">
        <v>3779</v>
      </c>
      <c r="C31" s="110" t="s">
        <v>3799</v>
      </c>
      <c r="D31" s="119" t="s">
        <v>3814</v>
      </c>
      <c r="E31" s="110" t="s">
        <v>45</v>
      </c>
      <c r="F31" s="108">
        <v>1</v>
      </c>
      <c r="G31" s="99"/>
    </row>
    <row r="32" spans="1:7" x14ac:dyDescent="0.2">
      <c r="A32" s="115"/>
      <c r="B32" s="852" t="s">
        <v>3780</v>
      </c>
      <c r="C32" s="899"/>
      <c r="D32" s="899"/>
      <c r="E32" s="899"/>
      <c r="F32" s="900"/>
      <c r="G32" s="99"/>
    </row>
    <row r="33" spans="1:7" ht="25.5" x14ac:dyDescent="0.2">
      <c r="A33" s="115">
        <v>1</v>
      </c>
      <c r="B33" s="117" t="s">
        <v>3781</v>
      </c>
      <c r="C33" s="110" t="s">
        <v>3801</v>
      </c>
      <c r="D33" s="119" t="s">
        <v>3813</v>
      </c>
      <c r="E33" s="110" t="s">
        <v>45</v>
      </c>
      <c r="F33" s="118">
        <v>3</v>
      </c>
      <c r="G33" s="99"/>
    </row>
    <row r="34" spans="1:7" ht="51" x14ac:dyDescent="0.2">
      <c r="A34" s="115">
        <v>2</v>
      </c>
      <c r="B34" s="117" t="s">
        <v>3782</v>
      </c>
      <c r="C34" s="118"/>
      <c r="D34" s="118"/>
      <c r="E34" s="110" t="s">
        <v>45</v>
      </c>
      <c r="F34" s="108">
        <v>1</v>
      </c>
      <c r="G34" s="99"/>
    </row>
    <row r="35" spans="1:7" x14ac:dyDescent="0.2">
      <c r="A35" s="115">
        <v>3</v>
      </c>
      <c r="B35" s="117" t="s">
        <v>3783</v>
      </c>
      <c r="C35" s="118"/>
      <c r="D35" s="118"/>
      <c r="E35" s="110" t="s">
        <v>45</v>
      </c>
      <c r="F35" s="108">
        <v>1</v>
      </c>
      <c r="G35" s="99"/>
    </row>
    <row r="36" spans="1:7" ht="25.5" x14ac:dyDescent="0.2">
      <c r="A36" s="115">
        <v>4</v>
      </c>
      <c r="B36" s="117" t="s">
        <v>3784</v>
      </c>
      <c r="C36" s="110" t="s">
        <v>3802</v>
      </c>
      <c r="D36" s="119" t="s">
        <v>3812</v>
      </c>
      <c r="E36" s="110" t="s">
        <v>45</v>
      </c>
      <c r="F36" s="108">
        <v>1</v>
      </c>
      <c r="G36" s="99"/>
    </row>
    <row r="37" spans="1:7" ht="25.5" x14ac:dyDescent="0.2">
      <c r="A37" s="115">
        <v>5</v>
      </c>
      <c r="B37" s="117" t="s">
        <v>3785</v>
      </c>
      <c r="C37" s="110" t="s">
        <v>3803</v>
      </c>
      <c r="D37" s="118"/>
      <c r="E37" s="110" t="s">
        <v>45</v>
      </c>
      <c r="F37" s="108">
        <v>1</v>
      </c>
      <c r="G37" s="99"/>
    </row>
    <row r="38" spans="1:7" x14ac:dyDescent="0.2">
      <c r="B38" s="99"/>
      <c r="C38" s="99"/>
      <c r="D38" s="99"/>
      <c r="E38" s="99"/>
      <c r="F38" s="99"/>
      <c r="G38" s="99"/>
    </row>
    <row r="39" spans="1:7" ht="15" x14ac:dyDescent="0.2">
      <c r="B39" s="791" t="s">
        <v>3847</v>
      </c>
      <c r="C39" s="791"/>
      <c r="D39" s="791"/>
    </row>
  </sheetData>
  <mergeCells count="8">
    <mergeCell ref="B1:F1"/>
    <mergeCell ref="B2:F2"/>
    <mergeCell ref="B7:F7"/>
    <mergeCell ref="B39:D39"/>
    <mergeCell ref="B11:F11"/>
    <mergeCell ref="B24:F24"/>
    <mergeCell ref="B26:F26"/>
    <mergeCell ref="B32:F32"/>
  </mergeCells>
  <pageMargins left="0.75" right="0.34" top="0.68" bottom="1" header="0.32" footer="0.5"/>
  <pageSetup paperSize="9" orientation="portrait" r:id="rId1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50"/>
  <sheetViews>
    <sheetView view="pageBreakPreview" zoomScale="110" zoomScaleSheetLayoutView="110" workbookViewId="0">
      <selection activeCell="F1" sqref="F1:H1"/>
    </sheetView>
  </sheetViews>
  <sheetFormatPr defaultRowHeight="12.75" x14ac:dyDescent="0.2"/>
  <cols>
    <col min="1" max="1" width="3.7109375" customWidth="1"/>
    <col min="2" max="2" width="31.28515625" customWidth="1"/>
    <col min="3" max="3" width="12.28515625" customWidth="1"/>
    <col min="4" max="4" width="12.85546875" customWidth="1"/>
    <col min="5" max="5" width="12.28515625" customWidth="1"/>
    <col min="6" max="6" width="12.140625" customWidth="1"/>
    <col min="7" max="7" width="12.42578125" customWidth="1"/>
    <col min="8" max="8" width="13.7109375" customWidth="1"/>
  </cols>
  <sheetData>
    <row r="1" spans="1:9" s="24" customFormat="1" ht="15" x14ac:dyDescent="0.2">
      <c r="B1" s="850"/>
      <c r="C1" s="850"/>
      <c r="D1" s="850"/>
      <c r="F1" s="801" t="s">
        <v>4700</v>
      </c>
      <c r="G1" s="801"/>
      <c r="H1" s="801"/>
    </row>
    <row r="2" spans="1:9" s="24" customFormat="1" ht="15" x14ac:dyDescent="0.2">
      <c r="B2" s="850"/>
      <c r="C2" s="850"/>
      <c r="D2" s="850"/>
      <c r="F2" s="801" t="s">
        <v>4586</v>
      </c>
      <c r="G2" s="801"/>
      <c r="H2" s="801"/>
      <c r="I2" s="801"/>
    </row>
    <row r="3" spans="1:9" s="24" customFormat="1" ht="15" x14ac:dyDescent="0.2"/>
    <row r="4" spans="1:9" s="24" customFormat="1" ht="15" x14ac:dyDescent="0.2"/>
    <row r="5" spans="1:9" s="24" customFormat="1" ht="15" x14ac:dyDescent="0.2"/>
    <row r="6" spans="1:9" ht="15.75" x14ac:dyDescent="0.25">
      <c r="A6" s="10"/>
      <c r="B6" s="10"/>
      <c r="C6" s="10"/>
    </row>
    <row r="7" spans="1:9" ht="48" customHeight="1" x14ac:dyDescent="0.2">
      <c r="A7" s="11"/>
      <c r="B7" s="823" t="s">
        <v>4381</v>
      </c>
      <c r="C7" s="823"/>
      <c r="D7" s="823"/>
      <c r="E7" s="823"/>
      <c r="F7" s="823"/>
      <c r="G7" s="823"/>
      <c r="H7" s="823"/>
    </row>
    <row r="8" spans="1:9" x14ac:dyDescent="0.2">
      <c r="A8" s="12"/>
      <c r="B8" s="12"/>
      <c r="C8" s="12"/>
    </row>
    <row r="9" spans="1:9" s="53" customFormat="1" ht="58.9" customHeight="1" x14ac:dyDescent="0.2">
      <c r="A9" s="51" t="s">
        <v>122</v>
      </c>
      <c r="B9" s="51" t="s">
        <v>3733</v>
      </c>
      <c r="C9" s="51" t="s">
        <v>134</v>
      </c>
      <c r="D9" s="529" t="s">
        <v>133</v>
      </c>
      <c r="E9" s="291" t="s">
        <v>4369</v>
      </c>
      <c r="F9" s="291" t="s">
        <v>4580</v>
      </c>
      <c r="G9" s="291" t="s">
        <v>4360</v>
      </c>
      <c r="H9" s="291" t="s">
        <v>3833</v>
      </c>
    </row>
    <row r="10" spans="1:9" s="56" customFormat="1" ht="11.25" x14ac:dyDescent="0.2">
      <c r="A10" s="54">
        <v>1</v>
      </c>
      <c r="B10" s="55">
        <v>2</v>
      </c>
      <c r="C10" s="54">
        <v>3</v>
      </c>
      <c r="D10" s="55">
        <v>4</v>
      </c>
      <c r="E10" s="54">
        <v>5</v>
      </c>
      <c r="F10" s="55">
        <v>6</v>
      </c>
      <c r="G10" s="54">
        <v>7</v>
      </c>
      <c r="H10" s="54">
        <v>8</v>
      </c>
    </row>
    <row r="11" spans="1:9" s="59" customFormat="1" ht="13.9" customHeight="1" x14ac:dyDescent="0.2">
      <c r="A11" s="57">
        <v>1</v>
      </c>
      <c r="B11" s="530" t="s">
        <v>4382</v>
      </c>
      <c r="C11" s="530" t="s">
        <v>45</v>
      </c>
      <c r="D11" s="60">
        <v>3</v>
      </c>
      <c r="E11" s="240">
        <v>2000</v>
      </c>
      <c r="F11" s="229">
        <v>1</v>
      </c>
      <c r="G11" s="205">
        <f t="shared" ref="G11:G35" si="0">E11*F11</f>
        <v>2000</v>
      </c>
      <c r="H11" s="205">
        <f>D11*G11</f>
        <v>6000</v>
      </c>
    </row>
    <row r="12" spans="1:9" s="59" customFormat="1" x14ac:dyDescent="0.2">
      <c r="A12" s="57">
        <v>2</v>
      </c>
      <c r="B12" s="530" t="s">
        <v>4383</v>
      </c>
      <c r="C12" s="530" t="s">
        <v>45</v>
      </c>
      <c r="D12" s="60">
        <v>3</v>
      </c>
      <c r="E12" s="240">
        <v>300</v>
      </c>
      <c r="F12" s="229">
        <v>1</v>
      </c>
      <c r="G12" s="205">
        <f t="shared" si="0"/>
        <v>300</v>
      </c>
      <c r="H12" s="205">
        <f t="shared" ref="H12:H35" si="1">D12*G12</f>
        <v>900</v>
      </c>
    </row>
    <row r="13" spans="1:9" s="59" customFormat="1" x14ac:dyDescent="0.2">
      <c r="A13" s="57">
        <v>3</v>
      </c>
      <c r="B13" s="530" t="s">
        <v>4384</v>
      </c>
      <c r="C13" s="530" t="s">
        <v>45</v>
      </c>
      <c r="D13" s="60">
        <v>3</v>
      </c>
      <c r="E13" s="240">
        <v>250</v>
      </c>
      <c r="F13" s="229">
        <v>1</v>
      </c>
      <c r="G13" s="205">
        <f t="shared" si="0"/>
        <v>250</v>
      </c>
      <c r="H13" s="205">
        <f t="shared" si="1"/>
        <v>750</v>
      </c>
    </row>
    <row r="14" spans="1:9" s="59" customFormat="1" x14ac:dyDescent="0.2">
      <c r="A14" s="57">
        <v>4</v>
      </c>
      <c r="B14" s="530" t="s">
        <v>4385</v>
      </c>
      <c r="C14" s="530" t="s">
        <v>4399</v>
      </c>
      <c r="D14" s="60">
        <v>3</v>
      </c>
      <c r="E14" s="240">
        <v>5000</v>
      </c>
      <c r="F14" s="229">
        <v>1</v>
      </c>
      <c r="G14" s="205">
        <f t="shared" si="0"/>
        <v>5000</v>
      </c>
      <c r="H14" s="205">
        <f t="shared" si="1"/>
        <v>15000</v>
      </c>
    </row>
    <row r="15" spans="1:9" s="59" customFormat="1" x14ac:dyDescent="0.2">
      <c r="A15" s="57">
        <v>5</v>
      </c>
      <c r="B15" s="530" t="s">
        <v>4386</v>
      </c>
      <c r="C15" s="530" t="s">
        <v>45</v>
      </c>
      <c r="D15" s="60">
        <v>3</v>
      </c>
      <c r="E15" s="240">
        <v>303</v>
      </c>
      <c r="F15" s="229">
        <v>1</v>
      </c>
      <c r="G15" s="205">
        <f t="shared" si="0"/>
        <v>303</v>
      </c>
      <c r="H15" s="205">
        <f t="shared" si="1"/>
        <v>909</v>
      </c>
    </row>
    <row r="16" spans="1:9" s="59" customFormat="1" x14ac:dyDescent="0.2">
      <c r="A16" s="57">
        <v>6</v>
      </c>
      <c r="B16" s="530" t="s">
        <v>4387</v>
      </c>
      <c r="C16" s="530" t="s">
        <v>45</v>
      </c>
      <c r="D16" s="60">
        <v>3</v>
      </c>
      <c r="E16" s="240">
        <v>524</v>
      </c>
      <c r="F16" s="229">
        <v>1</v>
      </c>
      <c r="G16" s="205">
        <f t="shared" si="0"/>
        <v>524</v>
      </c>
      <c r="H16" s="205">
        <f t="shared" si="1"/>
        <v>1572</v>
      </c>
    </row>
    <row r="17" spans="1:8" s="59" customFormat="1" x14ac:dyDescent="0.2">
      <c r="A17" s="57">
        <v>7</v>
      </c>
      <c r="B17" s="530" t="s">
        <v>4388</v>
      </c>
      <c r="C17" s="530" t="s">
        <v>45</v>
      </c>
      <c r="D17" s="60">
        <v>2</v>
      </c>
      <c r="E17" s="240">
        <v>1959</v>
      </c>
      <c r="F17" s="229">
        <v>1</v>
      </c>
      <c r="G17" s="205">
        <f t="shared" si="0"/>
        <v>1959</v>
      </c>
      <c r="H17" s="205">
        <f t="shared" si="1"/>
        <v>3918</v>
      </c>
    </row>
    <row r="18" spans="1:8" s="59" customFormat="1" x14ac:dyDescent="0.2">
      <c r="A18" s="57">
        <v>8</v>
      </c>
      <c r="B18" s="530" t="s">
        <v>4389</v>
      </c>
      <c r="C18" s="530" t="s">
        <v>45</v>
      </c>
      <c r="D18" s="60">
        <v>3</v>
      </c>
      <c r="E18" s="240">
        <v>4000</v>
      </c>
      <c r="F18" s="229">
        <v>1</v>
      </c>
      <c r="G18" s="205">
        <f t="shared" ref="G18:G19" si="2">E18*F18</f>
        <v>4000</v>
      </c>
      <c r="H18" s="205">
        <f t="shared" ref="H18:H19" si="3">D18*G18</f>
        <v>12000</v>
      </c>
    </row>
    <row r="19" spans="1:8" s="59" customFormat="1" x14ac:dyDescent="0.2">
      <c r="A19" s="57">
        <v>9</v>
      </c>
      <c r="B19" s="530" t="s">
        <v>4392</v>
      </c>
      <c r="C19" s="530" t="s">
        <v>45</v>
      </c>
      <c r="D19" s="60">
        <v>3</v>
      </c>
      <c r="E19" s="240">
        <v>90</v>
      </c>
      <c r="F19" s="229">
        <v>1</v>
      </c>
      <c r="G19" s="205">
        <f t="shared" si="2"/>
        <v>90</v>
      </c>
      <c r="H19" s="205">
        <f t="shared" si="3"/>
        <v>270</v>
      </c>
    </row>
    <row r="20" spans="1:8" s="59" customFormat="1" x14ac:dyDescent="0.2">
      <c r="A20" s="57">
        <v>10</v>
      </c>
      <c r="B20" s="530" t="s">
        <v>4390</v>
      </c>
      <c r="C20" s="530" t="s">
        <v>45</v>
      </c>
      <c r="D20" s="60">
        <v>1</v>
      </c>
      <c r="E20" s="240">
        <v>150</v>
      </c>
      <c r="F20" s="229">
        <v>1</v>
      </c>
      <c r="G20" s="205">
        <f t="shared" si="0"/>
        <v>150</v>
      </c>
      <c r="H20" s="205">
        <f t="shared" si="1"/>
        <v>150</v>
      </c>
    </row>
    <row r="21" spans="1:8" s="59" customFormat="1" x14ac:dyDescent="0.2">
      <c r="A21" s="57">
        <v>11</v>
      </c>
      <c r="B21" s="530" t="s">
        <v>4391</v>
      </c>
      <c r="C21" s="530" t="s">
        <v>45</v>
      </c>
      <c r="D21" s="60">
        <v>1</v>
      </c>
      <c r="E21" s="240">
        <v>225</v>
      </c>
      <c r="F21" s="229">
        <v>1</v>
      </c>
      <c r="G21" s="205">
        <f t="shared" si="0"/>
        <v>225</v>
      </c>
      <c r="H21" s="205">
        <f t="shared" si="1"/>
        <v>225</v>
      </c>
    </row>
    <row r="22" spans="1:8" s="59" customFormat="1" x14ac:dyDescent="0.2">
      <c r="A22" s="57">
        <v>12</v>
      </c>
      <c r="B22" s="530" t="s">
        <v>4393</v>
      </c>
      <c r="C22" s="531" t="s">
        <v>4404</v>
      </c>
      <c r="D22" s="60">
        <v>3</v>
      </c>
      <c r="E22" s="240">
        <v>450</v>
      </c>
      <c r="F22" s="229">
        <v>1</v>
      </c>
      <c r="G22" s="205">
        <f t="shared" si="0"/>
        <v>450</v>
      </c>
      <c r="H22" s="205">
        <f t="shared" si="1"/>
        <v>1350</v>
      </c>
    </row>
    <row r="23" spans="1:8" s="59" customFormat="1" x14ac:dyDescent="0.2">
      <c r="A23" s="57">
        <v>13</v>
      </c>
      <c r="B23" s="530" t="s">
        <v>4394</v>
      </c>
      <c r="C23" s="530" t="s">
        <v>4402</v>
      </c>
      <c r="D23" s="60">
        <v>3</v>
      </c>
      <c r="E23" s="240">
        <v>289</v>
      </c>
      <c r="F23" s="229">
        <v>1</v>
      </c>
      <c r="G23" s="205">
        <f t="shared" si="0"/>
        <v>289</v>
      </c>
      <c r="H23" s="205">
        <f t="shared" si="1"/>
        <v>867</v>
      </c>
    </row>
    <row r="24" spans="1:8" s="59" customFormat="1" x14ac:dyDescent="0.2">
      <c r="A24" s="57">
        <v>14</v>
      </c>
      <c r="B24" s="530" t="s">
        <v>4395</v>
      </c>
      <c r="C24" s="530" t="s">
        <v>45</v>
      </c>
      <c r="D24" s="60">
        <v>3</v>
      </c>
      <c r="E24" s="240">
        <v>64</v>
      </c>
      <c r="F24" s="229">
        <v>1</v>
      </c>
      <c r="G24" s="205">
        <f t="shared" si="0"/>
        <v>64</v>
      </c>
      <c r="H24" s="205">
        <f t="shared" si="1"/>
        <v>192</v>
      </c>
    </row>
    <row r="25" spans="1:8" s="59" customFormat="1" x14ac:dyDescent="0.2">
      <c r="A25" s="57">
        <v>15</v>
      </c>
      <c r="B25" s="530" t="s">
        <v>4396</v>
      </c>
      <c r="C25" s="530" t="s">
        <v>45</v>
      </c>
      <c r="D25" s="60">
        <v>1</v>
      </c>
      <c r="E25" s="240">
        <f>3990-932.93+335.33-24.84</f>
        <v>3367.56</v>
      </c>
      <c r="F25" s="229">
        <v>1</v>
      </c>
      <c r="G25" s="205">
        <f t="shared" si="0"/>
        <v>3367.56</v>
      </c>
      <c r="H25" s="205">
        <f t="shared" si="1"/>
        <v>3367.56</v>
      </c>
    </row>
    <row r="26" spans="1:8" s="59" customFormat="1" x14ac:dyDescent="0.2">
      <c r="A26" s="57">
        <v>16</v>
      </c>
      <c r="B26" s="530" t="s">
        <v>4397</v>
      </c>
      <c r="C26" s="531" t="s">
        <v>4405</v>
      </c>
      <c r="D26" s="60">
        <v>20</v>
      </c>
      <c r="E26" s="240">
        <v>287</v>
      </c>
      <c r="F26" s="229">
        <v>1</v>
      </c>
      <c r="G26" s="205">
        <f t="shared" si="0"/>
        <v>287</v>
      </c>
      <c r="H26" s="205">
        <f t="shared" si="1"/>
        <v>5740</v>
      </c>
    </row>
    <row r="27" spans="1:8" s="59" customFormat="1" x14ac:dyDescent="0.2">
      <c r="A27" s="57">
        <v>17</v>
      </c>
      <c r="B27" s="530" t="s">
        <v>4398</v>
      </c>
      <c r="C27" s="531" t="s">
        <v>4405</v>
      </c>
      <c r="D27" s="60">
        <v>20</v>
      </c>
      <c r="E27" s="240">
        <v>300</v>
      </c>
      <c r="F27" s="229">
        <v>1</v>
      </c>
      <c r="G27" s="205">
        <f t="shared" si="0"/>
        <v>300</v>
      </c>
      <c r="H27" s="205">
        <f t="shared" si="1"/>
        <v>6000</v>
      </c>
    </row>
    <row r="28" spans="1:8" s="59" customFormat="1" x14ac:dyDescent="0.2">
      <c r="A28" s="57">
        <v>18</v>
      </c>
      <c r="B28" s="530" t="s">
        <v>4400</v>
      </c>
      <c r="C28" s="530" t="s">
        <v>45</v>
      </c>
      <c r="D28" s="60">
        <v>3</v>
      </c>
      <c r="E28" s="240">
        <v>142</v>
      </c>
      <c r="F28" s="229">
        <v>1</v>
      </c>
      <c r="G28" s="205">
        <f t="shared" si="0"/>
        <v>142</v>
      </c>
      <c r="H28" s="205">
        <f t="shared" si="1"/>
        <v>426</v>
      </c>
    </row>
    <row r="29" spans="1:8" s="59" customFormat="1" x14ac:dyDescent="0.2">
      <c r="A29" s="57">
        <v>19</v>
      </c>
      <c r="B29" s="531" t="s">
        <v>4403</v>
      </c>
      <c r="C29" s="531" t="s">
        <v>4404</v>
      </c>
      <c r="D29" s="60">
        <v>1</v>
      </c>
      <c r="E29" s="240">
        <v>190</v>
      </c>
      <c r="F29" s="229">
        <v>1</v>
      </c>
      <c r="G29" s="205">
        <f t="shared" si="0"/>
        <v>190</v>
      </c>
      <c r="H29" s="205">
        <f t="shared" si="1"/>
        <v>190</v>
      </c>
    </row>
    <row r="30" spans="1:8" s="59" customFormat="1" x14ac:dyDescent="0.2">
      <c r="A30" s="57">
        <v>20</v>
      </c>
      <c r="B30" s="531" t="s">
        <v>4406</v>
      </c>
      <c r="C30" s="530" t="s">
        <v>45</v>
      </c>
      <c r="D30" s="60">
        <v>1</v>
      </c>
      <c r="E30" s="240">
        <v>2299</v>
      </c>
      <c r="F30" s="229">
        <v>1</v>
      </c>
      <c r="G30" s="205">
        <f t="shared" si="0"/>
        <v>2299</v>
      </c>
      <c r="H30" s="205">
        <f t="shared" si="1"/>
        <v>2299</v>
      </c>
    </row>
    <row r="31" spans="1:8" s="59" customFormat="1" x14ac:dyDescent="0.2">
      <c r="A31" s="57">
        <v>21</v>
      </c>
      <c r="B31" s="531" t="s">
        <v>4407</v>
      </c>
      <c r="C31" s="530" t="s">
        <v>45</v>
      </c>
      <c r="D31" s="60">
        <v>1</v>
      </c>
      <c r="E31" s="240">
        <v>280</v>
      </c>
      <c r="F31" s="229">
        <v>1</v>
      </c>
      <c r="G31" s="205">
        <f t="shared" si="0"/>
        <v>280</v>
      </c>
      <c r="H31" s="205">
        <f t="shared" si="1"/>
        <v>280</v>
      </c>
    </row>
    <row r="32" spans="1:8" s="59" customFormat="1" x14ac:dyDescent="0.2">
      <c r="A32" s="57">
        <v>22</v>
      </c>
      <c r="B32" s="531" t="s">
        <v>4408</v>
      </c>
      <c r="C32" s="530" t="s">
        <v>45</v>
      </c>
      <c r="D32" s="60">
        <v>1</v>
      </c>
      <c r="E32" s="240">
        <v>900</v>
      </c>
      <c r="F32" s="229">
        <v>1</v>
      </c>
      <c r="G32" s="205">
        <f t="shared" si="0"/>
        <v>900</v>
      </c>
      <c r="H32" s="205">
        <f t="shared" si="1"/>
        <v>900</v>
      </c>
    </row>
    <row r="33" spans="1:8" s="59" customFormat="1" x14ac:dyDescent="0.2">
      <c r="A33" s="57">
        <v>23</v>
      </c>
      <c r="B33" s="531" t="s">
        <v>4409</v>
      </c>
      <c r="C33" s="530" t="s">
        <v>45</v>
      </c>
      <c r="D33" s="60">
        <v>1</v>
      </c>
      <c r="E33" s="240">
        <v>5000</v>
      </c>
      <c r="F33" s="229">
        <v>1</v>
      </c>
      <c r="G33" s="205">
        <f t="shared" si="0"/>
        <v>5000</v>
      </c>
      <c r="H33" s="205">
        <f t="shared" si="1"/>
        <v>5000</v>
      </c>
    </row>
    <row r="34" spans="1:8" s="59" customFormat="1" x14ac:dyDescent="0.2">
      <c r="A34" s="57">
        <v>24</v>
      </c>
      <c r="B34" s="531" t="s">
        <v>4410</v>
      </c>
      <c r="C34" s="530" t="s">
        <v>45</v>
      </c>
      <c r="D34" s="60">
        <v>1</v>
      </c>
      <c r="E34" s="240">
        <v>300</v>
      </c>
      <c r="F34" s="229">
        <v>1</v>
      </c>
      <c r="G34" s="205">
        <f t="shared" si="0"/>
        <v>300</v>
      </c>
      <c r="H34" s="205">
        <f t="shared" si="1"/>
        <v>300</v>
      </c>
    </row>
    <row r="35" spans="1:8" s="59" customFormat="1" ht="13.9" customHeight="1" x14ac:dyDescent="0.2">
      <c r="A35" s="57">
        <v>25</v>
      </c>
      <c r="B35" s="531" t="s">
        <v>4411</v>
      </c>
      <c r="C35" s="530" t="s">
        <v>45</v>
      </c>
      <c r="D35" s="60">
        <v>1</v>
      </c>
      <c r="E35" s="240">
        <v>250</v>
      </c>
      <c r="F35" s="229">
        <v>1</v>
      </c>
      <c r="G35" s="205">
        <f t="shared" si="0"/>
        <v>250</v>
      </c>
      <c r="H35" s="205">
        <f t="shared" si="1"/>
        <v>250</v>
      </c>
    </row>
    <row r="36" spans="1:8" s="59" customFormat="1" ht="13.9" hidden="1" customHeight="1" x14ac:dyDescent="0.2">
      <c r="A36" s="57">
        <v>26</v>
      </c>
      <c r="B36" s="480" t="s">
        <v>4351</v>
      </c>
      <c r="C36" s="480" t="s">
        <v>135</v>
      </c>
      <c r="D36" s="481">
        <v>10</v>
      </c>
      <c r="E36" s="240">
        <v>1340</v>
      </c>
      <c r="F36" s="229">
        <v>1</v>
      </c>
      <c r="G36" s="205">
        <f t="shared" ref="G36:G39" si="4">E36*F36</f>
        <v>1340</v>
      </c>
      <c r="H36" s="205">
        <f t="shared" ref="H36:H39" si="5">D36*G36</f>
        <v>13400</v>
      </c>
    </row>
    <row r="37" spans="1:8" s="59" customFormat="1" ht="13.9" hidden="1" customHeight="1" x14ac:dyDescent="0.2">
      <c r="A37" s="57">
        <v>27</v>
      </c>
      <c r="B37" s="480" t="s">
        <v>4352</v>
      </c>
      <c r="C37" s="480" t="s">
        <v>135</v>
      </c>
      <c r="D37" s="481">
        <v>10</v>
      </c>
      <c r="E37" s="240">
        <v>1330</v>
      </c>
      <c r="F37" s="229">
        <v>1</v>
      </c>
      <c r="G37" s="205">
        <f t="shared" si="4"/>
        <v>1330</v>
      </c>
      <c r="H37" s="205">
        <f t="shared" si="5"/>
        <v>13300</v>
      </c>
    </row>
    <row r="38" spans="1:8" s="59" customFormat="1" ht="13.9" hidden="1" customHeight="1" x14ac:dyDescent="0.2">
      <c r="A38" s="57">
        <v>28</v>
      </c>
      <c r="B38" s="480" t="s">
        <v>4350</v>
      </c>
      <c r="C38" s="480" t="s">
        <v>45</v>
      </c>
      <c r="D38" s="481">
        <v>4</v>
      </c>
      <c r="E38" s="240">
        <v>3300</v>
      </c>
      <c r="F38" s="229">
        <v>1</v>
      </c>
      <c r="G38" s="205">
        <f t="shared" si="4"/>
        <v>3300</v>
      </c>
      <c r="H38" s="205">
        <f t="shared" si="5"/>
        <v>13200</v>
      </c>
    </row>
    <row r="39" spans="1:8" s="285" customFormat="1" ht="13.9" customHeight="1" x14ac:dyDescent="0.2">
      <c r="A39" s="57">
        <v>26</v>
      </c>
      <c r="B39" s="531" t="s">
        <v>4412</v>
      </c>
      <c r="C39" s="531" t="s">
        <v>4405</v>
      </c>
      <c r="D39" s="60">
        <v>3</v>
      </c>
      <c r="E39" s="240">
        <v>820</v>
      </c>
      <c r="F39" s="229">
        <v>1</v>
      </c>
      <c r="G39" s="205">
        <f t="shared" si="4"/>
        <v>820</v>
      </c>
      <c r="H39" s="205">
        <f t="shared" si="5"/>
        <v>2460</v>
      </c>
    </row>
    <row r="40" spans="1:8" ht="13.5" customHeight="1" x14ac:dyDescent="0.2">
      <c r="A40" s="57"/>
      <c r="B40" s="527" t="s">
        <v>3825</v>
      </c>
      <c r="C40" s="81"/>
      <c r="D40" s="81"/>
      <c r="E40" s="186"/>
      <c r="F40" s="186"/>
      <c r="G40" s="186"/>
      <c r="H40" s="240">
        <f>SUM(H11:H39)</f>
        <v>111215.56</v>
      </c>
    </row>
    <row r="41" spans="1:8" s="23" customFormat="1" ht="17.25" customHeight="1" x14ac:dyDescent="0.2">
      <c r="A41" s="21"/>
    </row>
    <row r="42" spans="1:8" s="23" customFormat="1" ht="18" customHeight="1" x14ac:dyDescent="0.2">
      <c r="A42" s="42"/>
      <c r="B42" s="528"/>
      <c r="C42" s="528"/>
    </row>
    <row r="43" spans="1:8" s="23" customFormat="1" ht="15" x14ac:dyDescent="0.2">
      <c r="A43" s="42"/>
      <c r="B43" s="525"/>
      <c r="C43" s="525"/>
      <c r="H43" s="256"/>
    </row>
    <row r="44" spans="1:8" s="23" customFormat="1" ht="15" x14ac:dyDescent="0.2">
      <c r="A44" s="42"/>
      <c r="B44" s="525"/>
      <c r="C44" s="525"/>
    </row>
    <row r="45" spans="1:8" s="23" customFormat="1" ht="15" x14ac:dyDescent="0.2">
      <c r="A45" s="525"/>
    </row>
    <row r="46" spans="1:8" s="23" customFormat="1" ht="15" x14ac:dyDescent="0.2">
      <c r="A46" s="792"/>
      <c r="B46" s="792"/>
      <c r="C46" s="526"/>
    </row>
    <row r="47" spans="1:8" s="23" customFormat="1" ht="15" customHeight="1" x14ac:dyDescent="0.2">
      <c r="A47" s="788"/>
      <c r="B47" s="788"/>
      <c r="C47" s="525"/>
    </row>
    <row r="48" spans="1:8" s="23" customFormat="1" ht="15" x14ac:dyDescent="0.2">
      <c r="A48" s="788"/>
      <c r="B48" s="788"/>
      <c r="C48" s="525"/>
    </row>
    <row r="49" spans="1:3" s="23" customFormat="1" ht="15" x14ac:dyDescent="0.2">
      <c r="A49" s="788"/>
      <c r="B49" s="788"/>
      <c r="C49" s="525"/>
    </row>
    <row r="50" spans="1:3" s="23" customFormat="1" ht="15" x14ac:dyDescent="0.2">
      <c r="A50" s="525"/>
      <c r="B50" s="525"/>
      <c r="C50" s="525"/>
    </row>
  </sheetData>
  <mergeCells count="9">
    <mergeCell ref="A47:B47"/>
    <mergeCell ref="A48:B48"/>
    <mergeCell ref="A49:B49"/>
    <mergeCell ref="B1:D1"/>
    <mergeCell ref="F1:H1"/>
    <mergeCell ref="B2:D2"/>
    <mergeCell ref="B7:H7"/>
    <mergeCell ref="A46:B46"/>
    <mergeCell ref="F2:I2"/>
  </mergeCells>
  <pageMargins left="0.75" right="0.34" top="0.68" bottom="1" header="0.32" footer="0.5"/>
  <pageSetup paperSize="9" scale="83" orientation="landscape" r:id="rId1"/>
  <headerFooter alignWithMargins="0"/>
  <rowBreaks count="1" manualBreakCount="1">
    <brk id="41" max="7" man="1"/>
  </rowBreaks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38"/>
  <sheetViews>
    <sheetView zoomScale="80" zoomScaleNormal="80" workbookViewId="0">
      <selection activeCell="T25" sqref="T25"/>
    </sheetView>
  </sheetViews>
  <sheetFormatPr defaultColWidth="8.85546875" defaultRowHeight="12.75" x14ac:dyDescent="0.2"/>
  <cols>
    <col min="1" max="1" width="3.7109375" style="98" customWidth="1"/>
    <col min="2" max="2" width="39.5703125" style="98" customWidth="1"/>
    <col min="3" max="3" width="16.28515625" style="98" customWidth="1"/>
    <col min="4" max="4" width="13.28515625" style="98" customWidth="1"/>
    <col min="5" max="5" width="11.140625" style="98" customWidth="1"/>
    <col min="6" max="6" width="15" style="98" customWidth="1"/>
    <col min="7" max="7" width="12.7109375" style="98" customWidth="1"/>
    <col min="8" max="8" width="13.140625" style="98" customWidth="1"/>
    <col min="9" max="9" width="13.42578125" style="98" customWidth="1"/>
    <col min="10" max="10" width="14.5703125" style="98" customWidth="1"/>
    <col min="11" max="16384" width="8.85546875" style="98"/>
  </cols>
  <sheetData>
    <row r="1" spans="1:11" s="96" customFormat="1" ht="15" x14ac:dyDescent="0.2">
      <c r="B1" s="850"/>
      <c r="C1" s="850"/>
      <c r="D1" s="850"/>
      <c r="E1" s="850"/>
      <c r="F1" s="850"/>
      <c r="G1" s="252"/>
      <c r="H1" s="801" t="s">
        <v>4730</v>
      </c>
      <c r="I1" s="801"/>
      <c r="J1" s="801"/>
    </row>
    <row r="2" spans="1:11" s="96" customFormat="1" ht="15" x14ac:dyDescent="0.2">
      <c r="B2" s="850"/>
      <c r="C2" s="850"/>
      <c r="D2" s="850"/>
      <c r="E2" s="850"/>
      <c r="F2" s="850"/>
      <c r="G2" s="252"/>
      <c r="H2" s="801" t="s">
        <v>4586</v>
      </c>
      <c r="I2" s="801"/>
      <c r="J2" s="801"/>
      <c r="K2" s="801"/>
    </row>
    <row r="3" spans="1:11" s="96" customFormat="1" x14ac:dyDescent="0.2"/>
    <row r="4" spans="1:11" s="96" customFormat="1" x14ac:dyDescent="0.2"/>
    <row r="5" spans="1:11" s="96" customFormat="1" x14ac:dyDescent="0.2"/>
    <row r="6" spans="1:11" x14ac:dyDescent="0.2">
      <c r="A6" s="97"/>
      <c r="B6" s="97"/>
      <c r="C6" s="97"/>
      <c r="D6" s="97"/>
      <c r="E6" s="97"/>
    </row>
    <row r="7" spans="1:11" ht="42" customHeight="1" x14ac:dyDescent="0.2">
      <c r="A7" s="823" t="s">
        <v>3834</v>
      </c>
      <c r="B7" s="823"/>
      <c r="C7" s="823"/>
      <c r="D7" s="823"/>
      <c r="E7" s="823"/>
      <c r="F7" s="823"/>
      <c r="G7" s="823"/>
      <c r="H7" s="823"/>
      <c r="I7" s="823"/>
      <c r="J7" s="823"/>
    </row>
    <row r="8" spans="1:11" x14ac:dyDescent="0.2">
      <c r="A8" s="12"/>
      <c r="B8" s="12"/>
      <c r="C8" s="12"/>
      <c r="D8" s="12"/>
      <c r="E8" s="12"/>
    </row>
    <row r="9" spans="1:11" s="101" customFormat="1" ht="53.25" customHeight="1" x14ac:dyDescent="0.2">
      <c r="A9" s="202" t="s">
        <v>4105</v>
      </c>
      <c r="B9" s="202" t="s">
        <v>3733</v>
      </c>
      <c r="C9" s="202" t="s">
        <v>3763</v>
      </c>
      <c r="D9" s="202" t="s">
        <v>3764</v>
      </c>
      <c r="E9" s="202" t="s">
        <v>134</v>
      </c>
      <c r="F9" s="344" t="s">
        <v>133</v>
      </c>
      <c r="G9" s="291" t="s">
        <v>4369</v>
      </c>
      <c r="H9" s="291" t="s">
        <v>4580</v>
      </c>
      <c r="I9" s="291" t="s">
        <v>4360</v>
      </c>
      <c r="J9" s="304" t="s">
        <v>3833</v>
      </c>
    </row>
    <row r="10" spans="1:11" s="104" customFormat="1" x14ac:dyDescent="0.2">
      <c r="A10" s="60">
        <v>1</v>
      </c>
      <c r="B10" s="307">
        <v>2</v>
      </c>
      <c r="C10" s="60">
        <v>3</v>
      </c>
      <c r="D10" s="307">
        <v>4</v>
      </c>
      <c r="E10" s="60">
        <v>5</v>
      </c>
      <c r="F10" s="307">
        <v>6</v>
      </c>
      <c r="G10" s="60">
        <v>7</v>
      </c>
      <c r="H10" s="307">
        <v>8</v>
      </c>
      <c r="I10" s="60">
        <v>9</v>
      </c>
      <c r="J10" s="60">
        <v>10</v>
      </c>
    </row>
    <row r="11" spans="1:11" s="104" customFormat="1" ht="27.75" customHeight="1" x14ac:dyDescent="0.2">
      <c r="A11" s="60"/>
      <c r="B11" s="883" t="s">
        <v>3765</v>
      </c>
      <c r="C11" s="884"/>
      <c r="D11" s="884"/>
      <c r="E11" s="884"/>
      <c r="F11" s="885"/>
      <c r="G11" s="345"/>
      <c r="H11" s="345"/>
      <c r="I11" s="345"/>
      <c r="J11" s="345"/>
    </row>
    <row r="12" spans="1:11" s="105" customFormat="1" ht="31.15" customHeight="1" x14ac:dyDescent="0.2">
      <c r="A12" s="346">
        <v>1</v>
      </c>
      <c r="B12" s="347" t="s">
        <v>3766</v>
      </c>
      <c r="C12" s="58" t="s">
        <v>3786</v>
      </c>
      <c r="D12" s="58"/>
      <c r="E12" s="58" t="s">
        <v>45</v>
      </c>
      <c r="F12" s="60">
        <v>1</v>
      </c>
      <c r="G12" s="605">
        <v>65</v>
      </c>
      <c r="H12" s="136">
        <v>1</v>
      </c>
      <c r="I12" s="245">
        <f t="shared" ref="I12:I23" si="0">G12*H12</f>
        <v>65</v>
      </c>
      <c r="J12" s="245">
        <f>F12*I12</f>
        <v>65</v>
      </c>
    </row>
    <row r="13" spans="1:11" s="105" customFormat="1" ht="25.5" x14ac:dyDescent="0.2">
      <c r="A13" s="346">
        <v>2</v>
      </c>
      <c r="B13" s="347" t="s">
        <v>2961</v>
      </c>
      <c r="C13" s="58" t="s">
        <v>3787</v>
      </c>
      <c r="D13" s="58" t="s">
        <v>3793</v>
      </c>
      <c r="E13" s="58" t="s">
        <v>45</v>
      </c>
      <c r="F13" s="60">
        <v>1</v>
      </c>
      <c r="G13" s="605">
        <v>5.5</v>
      </c>
      <c r="H13" s="136">
        <v>1</v>
      </c>
      <c r="I13" s="245">
        <f t="shared" si="0"/>
        <v>5.5</v>
      </c>
      <c r="J13" s="245">
        <f t="shared" ref="J13:J37" si="1">F13*I13</f>
        <v>5.5</v>
      </c>
    </row>
    <row r="14" spans="1:11" s="105" customFormat="1" ht="25.5" x14ac:dyDescent="0.2">
      <c r="A14" s="346">
        <v>3</v>
      </c>
      <c r="B14" s="347" t="s">
        <v>2961</v>
      </c>
      <c r="C14" s="58" t="s">
        <v>3791</v>
      </c>
      <c r="D14" s="58" t="s">
        <v>3794</v>
      </c>
      <c r="E14" s="58" t="s">
        <v>45</v>
      </c>
      <c r="F14" s="60">
        <v>1</v>
      </c>
      <c r="G14" s="605">
        <v>5.85</v>
      </c>
      <c r="H14" s="136">
        <v>1</v>
      </c>
      <c r="I14" s="245">
        <f t="shared" si="0"/>
        <v>5.85</v>
      </c>
      <c r="J14" s="245">
        <f t="shared" si="1"/>
        <v>5.85</v>
      </c>
    </row>
    <row r="15" spans="1:11" s="105" customFormat="1" ht="13.9" customHeight="1" x14ac:dyDescent="0.2">
      <c r="A15" s="346">
        <v>4</v>
      </c>
      <c r="B15" s="347" t="s">
        <v>2961</v>
      </c>
      <c r="C15" s="58" t="s">
        <v>3791</v>
      </c>
      <c r="D15" s="58" t="s">
        <v>3795</v>
      </c>
      <c r="E15" s="58" t="s">
        <v>45</v>
      </c>
      <c r="F15" s="60">
        <v>1</v>
      </c>
      <c r="G15" s="605">
        <v>6.15</v>
      </c>
      <c r="H15" s="136">
        <v>1</v>
      </c>
      <c r="I15" s="245">
        <f t="shared" si="0"/>
        <v>6.15</v>
      </c>
      <c r="J15" s="245">
        <f t="shared" si="1"/>
        <v>6.15</v>
      </c>
    </row>
    <row r="16" spans="1:11" s="105" customFormat="1" x14ac:dyDescent="0.2">
      <c r="A16" s="346">
        <v>5</v>
      </c>
      <c r="B16" s="347" t="s">
        <v>3767</v>
      </c>
      <c r="C16" s="58" t="s">
        <v>3791</v>
      </c>
      <c r="D16" s="58" t="s">
        <v>3796</v>
      </c>
      <c r="E16" s="58" t="s">
        <v>45</v>
      </c>
      <c r="F16" s="60">
        <v>1</v>
      </c>
      <c r="G16" s="605">
        <v>6.55</v>
      </c>
      <c r="H16" s="136">
        <v>1</v>
      </c>
      <c r="I16" s="245">
        <f t="shared" si="0"/>
        <v>6.55</v>
      </c>
      <c r="J16" s="245">
        <f t="shared" si="1"/>
        <v>6.55</v>
      </c>
    </row>
    <row r="17" spans="1:10" s="105" customFormat="1" x14ac:dyDescent="0.2">
      <c r="A17" s="346">
        <v>6</v>
      </c>
      <c r="B17" s="347" t="s">
        <v>3767</v>
      </c>
      <c r="C17" s="58" t="s">
        <v>3791</v>
      </c>
      <c r="D17" s="58" t="s">
        <v>3794</v>
      </c>
      <c r="E17" s="58" t="s">
        <v>45</v>
      </c>
      <c r="F17" s="60">
        <v>2</v>
      </c>
      <c r="G17" s="605">
        <v>7.35</v>
      </c>
      <c r="H17" s="136">
        <v>1</v>
      </c>
      <c r="I17" s="245">
        <f t="shared" si="0"/>
        <v>7.35</v>
      </c>
      <c r="J17" s="245">
        <f t="shared" si="1"/>
        <v>14.7</v>
      </c>
    </row>
    <row r="18" spans="1:10" s="105" customFormat="1" ht="13.9" customHeight="1" x14ac:dyDescent="0.2">
      <c r="A18" s="346">
        <v>7</v>
      </c>
      <c r="B18" s="347" t="s">
        <v>3767</v>
      </c>
      <c r="C18" s="58" t="s">
        <v>3791</v>
      </c>
      <c r="D18" s="58" t="s">
        <v>3795</v>
      </c>
      <c r="E18" s="58" t="s">
        <v>45</v>
      </c>
      <c r="F18" s="60">
        <v>2</v>
      </c>
      <c r="G18" s="605">
        <v>13.5</v>
      </c>
      <c r="H18" s="136">
        <v>1</v>
      </c>
      <c r="I18" s="245">
        <f t="shared" si="0"/>
        <v>13.5</v>
      </c>
      <c r="J18" s="245">
        <f t="shared" si="1"/>
        <v>27</v>
      </c>
    </row>
    <row r="19" spans="1:10" s="106" customFormat="1" ht="38.25" x14ac:dyDescent="0.2">
      <c r="A19" s="346">
        <v>8</v>
      </c>
      <c r="B19" s="606" t="s">
        <v>3768</v>
      </c>
      <c r="C19" s="58" t="s">
        <v>3788</v>
      </c>
      <c r="D19" s="58"/>
      <c r="E19" s="58" t="s">
        <v>45</v>
      </c>
      <c r="F19" s="607">
        <v>1</v>
      </c>
      <c r="G19" s="608">
        <v>43.7</v>
      </c>
      <c r="H19" s="136">
        <v>1</v>
      </c>
      <c r="I19" s="245">
        <f t="shared" si="0"/>
        <v>43.7</v>
      </c>
      <c r="J19" s="245">
        <f t="shared" si="1"/>
        <v>43.7</v>
      </c>
    </row>
    <row r="20" spans="1:10" s="106" customFormat="1" ht="38.25" x14ac:dyDescent="0.2">
      <c r="A20" s="346">
        <v>9</v>
      </c>
      <c r="B20" s="606" t="s">
        <v>3769</v>
      </c>
      <c r="C20" s="58" t="s">
        <v>3789</v>
      </c>
      <c r="D20" s="58" t="s">
        <v>3817</v>
      </c>
      <c r="E20" s="58" t="s">
        <v>3792</v>
      </c>
      <c r="F20" s="607">
        <v>1</v>
      </c>
      <c r="G20" s="608">
        <v>6.2</v>
      </c>
      <c r="H20" s="136">
        <v>1</v>
      </c>
      <c r="I20" s="245">
        <f t="shared" si="0"/>
        <v>6.2</v>
      </c>
      <c r="J20" s="245">
        <f t="shared" si="1"/>
        <v>6.2</v>
      </c>
    </row>
    <row r="21" spans="1:10" s="106" customFormat="1" ht="25.5" x14ac:dyDescent="0.2">
      <c r="A21" s="346">
        <v>10</v>
      </c>
      <c r="B21" s="606" t="s">
        <v>3770</v>
      </c>
      <c r="C21" s="58" t="s">
        <v>3790</v>
      </c>
      <c r="D21" s="58" t="s">
        <v>3818</v>
      </c>
      <c r="E21" s="58" t="s">
        <v>45</v>
      </c>
      <c r="F21" s="607">
        <v>2</v>
      </c>
      <c r="G21" s="608">
        <v>5</v>
      </c>
      <c r="H21" s="136">
        <v>1</v>
      </c>
      <c r="I21" s="245">
        <f t="shared" si="0"/>
        <v>5</v>
      </c>
      <c r="J21" s="245">
        <f t="shared" si="1"/>
        <v>10</v>
      </c>
    </row>
    <row r="22" spans="1:10" s="106" customFormat="1" ht="25.5" x14ac:dyDescent="0.2">
      <c r="A22" s="346">
        <v>11</v>
      </c>
      <c r="B22" s="606" t="s">
        <v>3770</v>
      </c>
      <c r="C22" s="58" t="s">
        <v>3790</v>
      </c>
      <c r="D22" s="58" t="s">
        <v>3819</v>
      </c>
      <c r="E22" s="58" t="s">
        <v>45</v>
      </c>
      <c r="F22" s="607">
        <v>10</v>
      </c>
      <c r="G22" s="608">
        <v>3.95</v>
      </c>
      <c r="H22" s="136">
        <v>1</v>
      </c>
      <c r="I22" s="245">
        <f t="shared" si="0"/>
        <v>3.95</v>
      </c>
      <c r="J22" s="245">
        <f t="shared" si="1"/>
        <v>39.5</v>
      </c>
    </row>
    <row r="23" spans="1:10" s="106" customFormat="1" ht="15" customHeight="1" x14ac:dyDescent="0.2">
      <c r="A23" s="346">
        <v>12</v>
      </c>
      <c r="B23" s="606" t="s">
        <v>3771</v>
      </c>
      <c r="C23" s="58" t="s">
        <v>3790</v>
      </c>
      <c r="D23" s="58" t="s">
        <v>3820</v>
      </c>
      <c r="E23" s="58" t="s">
        <v>45</v>
      </c>
      <c r="F23" s="607">
        <v>1</v>
      </c>
      <c r="G23" s="608">
        <v>108</v>
      </c>
      <c r="H23" s="136">
        <v>1</v>
      </c>
      <c r="I23" s="245">
        <f t="shared" si="0"/>
        <v>108</v>
      </c>
      <c r="J23" s="245">
        <f t="shared" si="1"/>
        <v>108</v>
      </c>
    </row>
    <row r="24" spans="1:10" s="106" customFormat="1" ht="21" customHeight="1" x14ac:dyDescent="0.2">
      <c r="A24" s="346"/>
      <c r="B24" s="904" t="s">
        <v>3772</v>
      </c>
      <c r="C24" s="905"/>
      <c r="D24" s="905"/>
      <c r="E24" s="905"/>
      <c r="F24" s="906"/>
      <c r="G24" s="608"/>
      <c r="H24" s="136">
        <v>1</v>
      </c>
      <c r="I24" s="349"/>
      <c r="J24" s="349"/>
    </row>
    <row r="25" spans="1:10" s="106" customFormat="1" ht="56.45" customHeight="1" x14ac:dyDescent="0.2">
      <c r="A25" s="346">
        <v>1</v>
      </c>
      <c r="B25" s="606" t="s">
        <v>3773</v>
      </c>
      <c r="C25" s="58" t="s">
        <v>3790</v>
      </c>
      <c r="D25" s="607"/>
      <c r="E25" s="58" t="s">
        <v>45</v>
      </c>
      <c r="F25" s="607">
        <v>1</v>
      </c>
      <c r="G25" s="608">
        <v>275.89</v>
      </c>
      <c r="H25" s="136">
        <v>1</v>
      </c>
      <c r="I25" s="349">
        <f>G25*H25</f>
        <v>275.89</v>
      </c>
      <c r="J25" s="245">
        <f t="shared" si="1"/>
        <v>275.89</v>
      </c>
    </row>
    <row r="26" spans="1:10" s="106" customFormat="1" ht="24.75" customHeight="1" x14ac:dyDescent="0.2">
      <c r="A26" s="348"/>
      <c r="B26" s="904" t="s">
        <v>3774</v>
      </c>
      <c r="C26" s="905"/>
      <c r="D26" s="905"/>
      <c r="E26" s="905"/>
      <c r="F26" s="906"/>
      <c r="G26" s="608"/>
      <c r="H26" s="136">
        <v>1</v>
      </c>
      <c r="I26" s="349"/>
      <c r="J26" s="349"/>
    </row>
    <row r="27" spans="1:10" ht="38.25" x14ac:dyDescent="0.2">
      <c r="A27" s="350">
        <v>1</v>
      </c>
      <c r="B27" s="351" t="s">
        <v>3775</v>
      </c>
      <c r="C27" s="58" t="s">
        <v>3797</v>
      </c>
      <c r="D27" s="366"/>
      <c r="E27" s="58" t="s">
        <v>45</v>
      </c>
      <c r="F27" s="607">
        <v>1</v>
      </c>
      <c r="G27" s="609">
        <v>380</v>
      </c>
      <c r="H27" s="136">
        <v>1</v>
      </c>
      <c r="I27" s="349">
        <f>G27*H27</f>
        <v>380</v>
      </c>
      <c r="J27" s="245">
        <f t="shared" si="1"/>
        <v>380</v>
      </c>
    </row>
    <row r="28" spans="1:10" ht="38.25" x14ac:dyDescent="0.2">
      <c r="A28" s="350">
        <v>2</v>
      </c>
      <c r="B28" s="351" t="s">
        <v>3776</v>
      </c>
      <c r="C28" s="58" t="s">
        <v>3790</v>
      </c>
      <c r="D28" s="593" t="s">
        <v>3816</v>
      </c>
      <c r="E28" s="58" t="s">
        <v>45</v>
      </c>
      <c r="F28" s="366">
        <v>5</v>
      </c>
      <c r="G28" s="609">
        <v>6.43</v>
      </c>
      <c r="H28" s="136">
        <v>1</v>
      </c>
      <c r="I28" s="349">
        <f>G28*H28</f>
        <v>6.43</v>
      </c>
      <c r="J28" s="245">
        <f t="shared" si="1"/>
        <v>32.15</v>
      </c>
    </row>
    <row r="29" spans="1:10" s="111" customFormat="1" ht="83.45" customHeight="1" x14ac:dyDescent="0.2">
      <c r="A29" s="350">
        <v>3</v>
      </c>
      <c r="B29" s="351" t="s">
        <v>3777</v>
      </c>
      <c r="C29" s="58" t="s">
        <v>3800</v>
      </c>
      <c r="D29" s="593" t="s">
        <v>3815</v>
      </c>
      <c r="E29" s="593" t="s">
        <v>3798</v>
      </c>
      <c r="F29" s="366">
        <v>2</v>
      </c>
      <c r="G29" s="609">
        <v>6.79</v>
      </c>
      <c r="H29" s="136">
        <v>1</v>
      </c>
      <c r="I29" s="349">
        <f>G29*H29</f>
        <v>6.79</v>
      </c>
      <c r="J29" s="245">
        <f t="shared" si="1"/>
        <v>13.58</v>
      </c>
    </row>
    <row r="30" spans="1:10" ht="42" customHeight="1" x14ac:dyDescent="0.2">
      <c r="A30" s="350">
        <v>4</v>
      </c>
      <c r="B30" s="351" t="s">
        <v>3778</v>
      </c>
      <c r="C30" s="58" t="s">
        <v>3790</v>
      </c>
      <c r="D30" s="366"/>
      <c r="E30" s="593" t="s">
        <v>45</v>
      </c>
      <c r="F30" s="366">
        <v>2</v>
      </c>
      <c r="G30" s="609">
        <v>4</v>
      </c>
      <c r="H30" s="136">
        <v>1</v>
      </c>
      <c r="I30" s="349">
        <f>G30*H30</f>
        <v>4</v>
      </c>
      <c r="J30" s="245">
        <f t="shared" si="1"/>
        <v>8</v>
      </c>
    </row>
    <row r="31" spans="1:10" ht="38.25" x14ac:dyDescent="0.2">
      <c r="A31" s="350">
        <v>5</v>
      </c>
      <c r="B31" s="351" t="s">
        <v>3779</v>
      </c>
      <c r="C31" s="58" t="s">
        <v>3799</v>
      </c>
      <c r="D31" s="593" t="s">
        <v>3814</v>
      </c>
      <c r="E31" s="58" t="s">
        <v>45</v>
      </c>
      <c r="F31" s="607">
        <v>1</v>
      </c>
      <c r="G31" s="609">
        <v>215</v>
      </c>
      <c r="H31" s="136">
        <v>1</v>
      </c>
      <c r="I31" s="349">
        <f>G31*H31</f>
        <v>215</v>
      </c>
      <c r="J31" s="245">
        <f t="shared" si="1"/>
        <v>215</v>
      </c>
    </row>
    <row r="32" spans="1:10" ht="23.25" customHeight="1" x14ac:dyDescent="0.2">
      <c r="A32" s="350"/>
      <c r="B32" s="901" t="s">
        <v>3780</v>
      </c>
      <c r="C32" s="902"/>
      <c r="D32" s="902"/>
      <c r="E32" s="902"/>
      <c r="F32" s="903"/>
      <c r="G32" s="609"/>
      <c r="H32" s="136">
        <v>1</v>
      </c>
      <c r="I32" s="352"/>
      <c r="J32" s="245"/>
    </row>
    <row r="33" spans="1:10" ht="25.5" x14ac:dyDescent="0.2">
      <c r="A33" s="350">
        <v>1</v>
      </c>
      <c r="B33" s="351" t="s">
        <v>3781</v>
      </c>
      <c r="C33" s="58" t="s">
        <v>3801</v>
      </c>
      <c r="D33" s="593" t="s">
        <v>3813</v>
      </c>
      <c r="E33" s="58" t="s">
        <v>45</v>
      </c>
      <c r="F33" s="366">
        <v>3</v>
      </c>
      <c r="G33" s="609">
        <v>7.42</v>
      </c>
      <c r="H33" s="136">
        <v>1</v>
      </c>
      <c r="I33" s="352">
        <f>G33*H33</f>
        <v>7.42</v>
      </c>
      <c r="J33" s="245">
        <f t="shared" si="1"/>
        <v>22.259999999999998</v>
      </c>
    </row>
    <row r="34" spans="1:10" ht="57.75" customHeight="1" x14ac:dyDescent="0.2">
      <c r="A34" s="350">
        <v>2</v>
      </c>
      <c r="B34" s="351" t="s">
        <v>3782</v>
      </c>
      <c r="C34" s="366"/>
      <c r="D34" s="366"/>
      <c r="E34" s="58" t="s">
        <v>45</v>
      </c>
      <c r="F34" s="607">
        <v>1</v>
      </c>
      <c r="G34" s="609"/>
      <c r="H34" s="136">
        <v>1</v>
      </c>
      <c r="I34" s="352">
        <f>G34*H34</f>
        <v>0</v>
      </c>
      <c r="J34" s="245">
        <f t="shared" si="1"/>
        <v>0</v>
      </c>
    </row>
    <row r="35" spans="1:10" x14ac:dyDescent="0.2">
      <c r="A35" s="350">
        <v>3</v>
      </c>
      <c r="B35" s="351" t="s">
        <v>3783</v>
      </c>
      <c r="C35" s="366"/>
      <c r="D35" s="366"/>
      <c r="E35" s="58" t="s">
        <v>45</v>
      </c>
      <c r="F35" s="607">
        <v>1</v>
      </c>
      <c r="G35" s="609">
        <v>1175</v>
      </c>
      <c r="H35" s="136">
        <v>1</v>
      </c>
      <c r="I35" s="352">
        <f>G35*H35</f>
        <v>1175</v>
      </c>
      <c r="J35" s="245">
        <f t="shared" si="1"/>
        <v>1175</v>
      </c>
    </row>
    <row r="36" spans="1:10" ht="25.5" x14ac:dyDescent="0.2">
      <c r="A36" s="350">
        <v>4</v>
      </c>
      <c r="B36" s="351" t="s">
        <v>3784</v>
      </c>
      <c r="C36" s="58" t="s">
        <v>3802</v>
      </c>
      <c r="D36" s="593" t="s">
        <v>3812</v>
      </c>
      <c r="E36" s="58" t="s">
        <v>45</v>
      </c>
      <c r="F36" s="607">
        <v>1</v>
      </c>
      <c r="G36" s="609">
        <v>11</v>
      </c>
      <c r="H36" s="136">
        <v>1</v>
      </c>
      <c r="I36" s="352">
        <f>G36*H36</f>
        <v>11</v>
      </c>
      <c r="J36" s="245">
        <f t="shared" si="1"/>
        <v>11</v>
      </c>
    </row>
    <row r="37" spans="1:10" ht="25.5" x14ac:dyDescent="0.2">
      <c r="A37" s="350">
        <v>5</v>
      </c>
      <c r="B37" s="351" t="s">
        <v>3785</v>
      </c>
      <c r="C37" s="58" t="s">
        <v>3803</v>
      </c>
      <c r="D37" s="366"/>
      <c r="E37" s="58" t="s">
        <v>45</v>
      </c>
      <c r="F37" s="607">
        <v>1</v>
      </c>
      <c r="G37" s="609">
        <v>13.88</v>
      </c>
      <c r="H37" s="136">
        <v>1</v>
      </c>
      <c r="I37" s="352">
        <f>G37*H37</f>
        <v>13.88</v>
      </c>
      <c r="J37" s="245">
        <f t="shared" si="1"/>
        <v>13.88</v>
      </c>
    </row>
    <row r="38" spans="1:10" ht="17.25" customHeight="1" x14ac:dyDescent="0.2">
      <c r="B38" s="99"/>
      <c r="C38" s="99"/>
      <c r="D38" s="99"/>
      <c r="E38" s="99"/>
      <c r="F38" s="99"/>
      <c r="G38" s="99"/>
      <c r="H38" s="99"/>
      <c r="I38" s="99"/>
      <c r="J38" s="264">
        <f>J37+J36+J35+J34+J33+J31+J30+J29+J28+J27+J25+J23+J22+J21+J20+J19+J18+J17+J16+J15+J14+J13+J12</f>
        <v>2484.91</v>
      </c>
    </row>
  </sheetData>
  <mergeCells count="9">
    <mergeCell ref="B32:F32"/>
    <mergeCell ref="B1:F1"/>
    <mergeCell ref="B2:F2"/>
    <mergeCell ref="B11:F11"/>
    <mergeCell ref="B24:F24"/>
    <mergeCell ref="B26:F26"/>
    <mergeCell ref="A7:J7"/>
    <mergeCell ref="H1:J1"/>
    <mergeCell ref="H2:K2"/>
  </mergeCells>
  <pageMargins left="0.75" right="0.34" top="0.68" bottom="1" header="0.32" footer="0.5"/>
  <pageSetup paperSize="9" scale="90" orientation="landscape" r:id="rId1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B19" sqref="B19:D19"/>
    </sheetView>
  </sheetViews>
  <sheetFormatPr defaultRowHeight="12.75" x14ac:dyDescent="0.2"/>
  <cols>
    <col min="1" max="1" width="4.28515625" customWidth="1"/>
    <col min="2" max="2" width="47.5703125" customWidth="1"/>
    <col min="3" max="3" width="6.140625" customWidth="1"/>
    <col min="4" max="4" width="14.28515625" customWidth="1"/>
    <col min="5" max="5" width="10.140625" customWidth="1"/>
  </cols>
  <sheetData>
    <row r="1" spans="1:6" s="24" customFormat="1" ht="15" x14ac:dyDescent="0.2">
      <c r="B1" s="889" t="s">
        <v>125</v>
      </c>
      <c r="C1" s="889"/>
      <c r="D1" s="889"/>
      <c r="E1" s="889"/>
    </row>
    <row r="2" spans="1:6" s="24" customFormat="1" ht="15" x14ac:dyDescent="0.2">
      <c r="B2" s="850" t="s">
        <v>124</v>
      </c>
      <c r="C2" s="850"/>
      <c r="D2" s="850"/>
      <c r="E2" s="850"/>
    </row>
    <row r="3" spans="1:6" s="24" customFormat="1" ht="15" x14ac:dyDescent="0.2"/>
    <row r="4" spans="1:6" s="24" customFormat="1" ht="15" x14ac:dyDescent="0.2"/>
    <row r="5" spans="1:6" s="24" customFormat="1" ht="15" x14ac:dyDescent="0.2"/>
    <row r="6" spans="1:6" ht="15.75" x14ac:dyDescent="0.25">
      <c r="A6" s="10"/>
      <c r="B6" s="10"/>
      <c r="C6" s="10"/>
      <c r="D6" s="10"/>
      <c r="E6" s="10"/>
    </row>
    <row r="7" spans="1:6" ht="46.15" customHeight="1" x14ac:dyDescent="0.2">
      <c r="A7" s="11"/>
      <c r="B7" s="787" t="s">
        <v>3752</v>
      </c>
      <c r="C7" s="787"/>
      <c r="D7" s="787"/>
      <c r="E7" s="787"/>
      <c r="F7" s="25"/>
    </row>
    <row r="8" spans="1:6" x14ac:dyDescent="0.2">
      <c r="A8" s="12"/>
      <c r="B8" s="12"/>
      <c r="C8" s="12"/>
      <c r="D8" s="12"/>
      <c r="E8" s="12"/>
    </row>
    <row r="9" spans="1:6" s="53" customFormat="1" ht="43.15" customHeight="1" x14ac:dyDescent="0.2">
      <c r="A9" s="68" t="s">
        <v>122</v>
      </c>
      <c r="B9" s="68" t="s">
        <v>121</v>
      </c>
      <c r="C9" s="68" t="s">
        <v>3753</v>
      </c>
      <c r="D9" s="68" t="s">
        <v>3738</v>
      </c>
      <c r="E9" s="69" t="s">
        <v>3760</v>
      </c>
    </row>
    <row r="10" spans="1:6" ht="15" x14ac:dyDescent="0.2">
      <c r="A10" s="874" t="s">
        <v>257</v>
      </c>
      <c r="B10" s="874"/>
      <c r="C10" s="874"/>
      <c r="D10" s="874"/>
      <c r="E10" s="874"/>
    </row>
    <row r="11" spans="1:6" ht="15" x14ac:dyDescent="0.2">
      <c r="A11" s="71">
        <v>1</v>
      </c>
      <c r="B11" s="71" t="s">
        <v>3754</v>
      </c>
      <c r="C11" s="79">
        <v>1</v>
      </c>
      <c r="D11" s="79">
        <v>2</v>
      </c>
      <c r="E11" s="76">
        <f t="shared" ref="E11:E12" si="0">C11*(1/D11)</f>
        <v>0.5</v>
      </c>
    </row>
    <row r="12" spans="1:6" ht="15" x14ac:dyDescent="0.2">
      <c r="A12" s="71">
        <v>2</v>
      </c>
      <c r="B12" s="71" t="s">
        <v>3755</v>
      </c>
      <c r="C12" s="79">
        <v>1</v>
      </c>
      <c r="D12" s="79">
        <v>2</v>
      </c>
      <c r="E12" s="76">
        <f t="shared" si="0"/>
        <v>0.5</v>
      </c>
    </row>
    <row r="13" spans="1:6" ht="15" x14ac:dyDescent="0.2">
      <c r="A13" s="71">
        <v>3</v>
      </c>
      <c r="B13" s="71" t="s">
        <v>3756</v>
      </c>
      <c r="C13" s="79">
        <v>1</v>
      </c>
      <c r="D13" s="79">
        <v>2</v>
      </c>
      <c r="E13" s="76">
        <f t="shared" ref="E13:E17" si="1">C13*(1/D13)</f>
        <v>0.5</v>
      </c>
    </row>
    <row r="14" spans="1:6" ht="15" x14ac:dyDescent="0.2">
      <c r="A14" s="71">
        <v>4</v>
      </c>
      <c r="B14" s="71" t="s">
        <v>3761</v>
      </c>
      <c r="C14" s="79">
        <v>1</v>
      </c>
      <c r="D14" s="79">
        <v>2</v>
      </c>
      <c r="E14" s="76">
        <f t="shared" si="1"/>
        <v>0.5</v>
      </c>
    </row>
    <row r="15" spans="1:6" ht="15" x14ac:dyDescent="0.2">
      <c r="A15" s="71">
        <v>5</v>
      </c>
      <c r="B15" s="71" t="s">
        <v>3757</v>
      </c>
      <c r="C15" s="79">
        <v>1</v>
      </c>
      <c r="D15" s="79">
        <v>2</v>
      </c>
      <c r="E15" s="76">
        <f t="shared" si="1"/>
        <v>0.5</v>
      </c>
    </row>
    <row r="16" spans="1:6" ht="15" x14ac:dyDescent="0.2">
      <c r="A16" s="71">
        <v>6</v>
      </c>
      <c r="B16" s="71" t="s">
        <v>3758</v>
      </c>
      <c r="C16" s="79">
        <v>1</v>
      </c>
      <c r="D16" s="79">
        <v>20</v>
      </c>
      <c r="E16" s="76">
        <f t="shared" si="1"/>
        <v>0.05</v>
      </c>
    </row>
    <row r="17" spans="1:5" ht="15" x14ac:dyDescent="0.2">
      <c r="A17" s="71">
        <v>7</v>
      </c>
      <c r="B17" s="71" t="s">
        <v>3759</v>
      </c>
      <c r="C17" s="79">
        <v>1</v>
      </c>
      <c r="D17" s="79">
        <v>20</v>
      </c>
      <c r="E17" s="76">
        <f t="shared" si="1"/>
        <v>0.05</v>
      </c>
    </row>
    <row r="19" spans="1:5" ht="15" x14ac:dyDescent="0.2">
      <c r="B19" s="791" t="s">
        <v>3847</v>
      </c>
      <c r="C19" s="791"/>
      <c r="D19" s="791"/>
    </row>
  </sheetData>
  <mergeCells count="5">
    <mergeCell ref="A10:E10"/>
    <mergeCell ref="B1:E1"/>
    <mergeCell ref="B2:E2"/>
    <mergeCell ref="B7:E7"/>
    <mergeCell ref="B19:D19"/>
  </mergeCells>
  <pageMargins left="0.65" right="0.25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"/>
  <sheetViews>
    <sheetView topLeftCell="A4" workbookViewId="0">
      <pane ySplit="1530" topLeftCell="A28" activePane="bottomLeft"/>
      <selection activeCell="E41" sqref="E41"/>
      <selection pane="bottomLeft" activeCell="E41" sqref="E41"/>
    </sheetView>
  </sheetViews>
  <sheetFormatPr defaultRowHeight="12.75" x14ac:dyDescent="0.2"/>
  <cols>
    <col min="1" max="1" width="21" customWidth="1"/>
    <col min="2" max="2" width="17.42578125" customWidth="1"/>
    <col min="3" max="3" width="17.28515625" customWidth="1"/>
    <col min="4" max="4" width="18" customWidth="1"/>
    <col min="5" max="5" width="16.5703125" customWidth="1"/>
    <col min="7" max="7" width="16.5703125" customWidth="1"/>
    <col min="8" max="8" width="11.140625" customWidth="1"/>
    <col min="13" max="16" width="13.42578125" customWidth="1"/>
    <col min="18" max="18" width="13.42578125" customWidth="1"/>
    <col min="19" max="19" width="15.7109375" customWidth="1"/>
  </cols>
  <sheetData>
    <row r="1" spans="1:19" ht="14.25" x14ac:dyDescent="0.2">
      <c r="A1" s="380" t="s">
        <v>4189</v>
      </c>
    </row>
    <row r="4" spans="1:19" s="468" customFormat="1" ht="63.75" x14ac:dyDescent="0.2">
      <c r="A4" s="415" t="s">
        <v>4200</v>
      </c>
      <c r="B4" s="416" t="s">
        <v>4201</v>
      </c>
      <c r="C4" s="416" t="s">
        <v>4202</v>
      </c>
      <c r="D4" s="416" t="s">
        <v>4203</v>
      </c>
      <c r="E4" s="416" t="s">
        <v>4204</v>
      </c>
      <c r="F4" s="386" t="s">
        <v>4205</v>
      </c>
      <c r="G4" s="386" t="s">
        <v>4206</v>
      </c>
      <c r="H4" s="386" t="s">
        <v>4207</v>
      </c>
      <c r="I4" s="386" t="s">
        <v>4208</v>
      </c>
      <c r="J4" s="386" t="s">
        <v>4209</v>
      </c>
      <c r="K4" s="387" t="s">
        <v>4210</v>
      </c>
      <c r="L4" s="387" t="s">
        <v>4211</v>
      </c>
      <c r="M4" s="388" t="s">
        <v>4212</v>
      </c>
      <c r="N4" s="388" t="s">
        <v>4213</v>
      </c>
      <c r="O4" s="388" t="s">
        <v>4214</v>
      </c>
      <c r="P4" s="388" t="s">
        <v>4215</v>
      </c>
      <c r="Q4" s="389" t="s">
        <v>4211</v>
      </c>
      <c r="R4" s="388" t="s">
        <v>4265</v>
      </c>
      <c r="S4" s="417" t="s">
        <v>4268</v>
      </c>
    </row>
    <row r="5" spans="1:19" x14ac:dyDescent="0.2">
      <c r="A5" s="418"/>
      <c r="B5" s="419"/>
      <c r="C5" s="419"/>
      <c r="D5" s="419"/>
      <c r="E5" s="419"/>
      <c r="F5" s="420"/>
    </row>
    <row r="6" spans="1:19" x14ac:dyDescent="0.2">
      <c r="A6" s="394">
        <v>1</v>
      </c>
      <c r="B6" s="395">
        <v>2</v>
      </c>
      <c r="C6" s="395">
        <v>3</v>
      </c>
      <c r="D6" s="395">
        <v>4</v>
      </c>
      <c r="E6" s="394">
        <v>5</v>
      </c>
      <c r="F6" s="395">
        <v>6</v>
      </c>
      <c r="G6" s="395">
        <v>7</v>
      </c>
      <c r="H6" s="395">
        <v>8</v>
      </c>
      <c r="I6" s="394">
        <v>9</v>
      </c>
      <c r="J6" s="395">
        <v>10</v>
      </c>
      <c r="K6" s="395">
        <v>11</v>
      </c>
      <c r="L6" s="395">
        <v>12</v>
      </c>
      <c r="M6" s="394">
        <v>13</v>
      </c>
      <c r="N6" s="395">
        <v>14</v>
      </c>
      <c r="O6" s="395">
        <v>15</v>
      </c>
      <c r="P6" s="395">
        <v>16</v>
      </c>
      <c r="Q6" s="394">
        <v>17</v>
      </c>
      <c r="R6" s="395">
        <v>18</v>
      </c>
      <c r="S6" s="395">
        <v>19</v>
      </c>
    </row>
    <row r="7" spans="1:19" ht="38.25" x14ac:dyDescent="0.2">
      <c r="A7" s="421" t="s">
        <v>4218</v>
      </c>
      <c r="B7" s="422" t="s">
        <v>4224</v>
      </c>
      <c r="C7" s="422" t="s">
        <v>4220</v>
      </c>
      <c r="D7" s="423">
        <v>1</v>
      </c>
      <c r="E7" s="424">
        <v>66943.39</v>
      </c>
      <c r="F7" s="81"/>
      <c r="G7" s="81"/>
      <c r="H7" s="81"/>
      <c r="I7" s="81"/>
      <c r="J7" s="81">
        <f>E7/70*10</f>
        <v>9563.341428571428</v>
      </c>
      <c r="K7" s="399">
        <f>E7+F7+G7+H7+I7+J7</f>
        <v>76506.731428571424</v>
      </c>
      <c r="L7" s="400">
        <f>IF(D7=0,0,IF(K7&lt;19000,19000-K7,0))</f>
        <v>0</v>
      </c>
      <c r="M7" s="254">
        <f>E7*D7</f>
        <v>66943.39</v>
      </c>
      <c r="N7" s="254">
        <f>I7*D7</f>
        <v>0</v>
      </c>
      <c r="O7" s="254">
        <f>(F7+G7+H7)*D7</f>
        <v>0</v>
      </c>
      <c r="P7" s="254">
        <f>J7*D7</f>
        <v>9563.341428571428</v>
      </c>
      <c r="Q7" s="254">
        <f>L7*D7</f>
        <v>0</v>
      </c>
      <c r="R7" s="254">
        <f t="shared" ref="R7:R36" si="0">SUM(M7:Q7)</f>
        <v>76506.731428571424</v>
      </c>
      <c r="S7" s="81">
        <f>R7*12</f>
        <v>918080.77714285708</v>
      </c>
    </row>
    <row r="8" spans="1:19" ht="38.25" x14ac:dyDescent="0.2">
      <c r="A8" s="421" t="s">
        <v>4221</v>
      </c>
      <c r="B8" s="422" t="s">
        <v>4224</v>
      </c>
      <c r="C8" s="422" t="s">
        <v>4220</v>
      </c>
      <c r="D8" s="423">
        <v>3</v>
      </c>
      <c r="E8" s="424">
        <v>61364.77</v>
      </c>
      <c r="F8" s="81"/>
      <c r="G8" s="81"/>
      <c r="H8" s="81"/>
      <c r="I8" s="81"/>
      <c r="J8" s="81">
        <f t="shared" ref="J8:J36" si="1">E8/70*10</f>
        <v>8766.3957142857143</v>
      </c>
      <c r="K8" s="399">
        <f t="shared" ref="K8:K36" si="2">E8+F8+G8+H8+I8+J8</f>
        <v>70131.165714285715</v>
      </c>
      <c r="L8" s="400">
        <f t="shared" ref="L8:L36" si="3">IF(D8=0,0,IF(K8&lt;19000,19000-K8,0))</f>
        <v>0</v>
      </c>
      <c r="M8" s="254">
        <f t="shared" ref="M8:M36" si="4">E8*D8</f>
        <v>184094.31</v>
      </c>
      <c r="N8" s="254">
        <f t="shared" ref="N8:N36" si="5">I8*D8</f>
        <v>0</v>
      </c>
      <c r="O8" s="254">
        <f t="shared" ref="O8:O36" si="6">(F8+G8+H8)*D8</f>
        <v>0</v>
      </c>
      <c r="P8" s="254">
        <f t="shared" ref="P8:P36" si="7">J8*D8</f>
        <v>26299.187142857143</v>
      </c>
      <c r="Q8" s="254">
        <f t="shared" ref="Q8:Q36" si="8">L8*D8</f>
        <v>0</v>
      </c>
      <c r="R8" s="254">
        <f t="shared" si="0"/>
        <v>210393.49714285714</v>
      </c>
      <c r="S8" s="81">
        <f t="shared" ref="S8:S36" si="9">R8*12</f>
        <v>2524721.9657142856</v>
      </c>
    </row>
    <row r="9" spans="1:19" ht="38.25" x14ac:dyDescent="0.2">
      <c r="A9" s="421" t="s">
        <v>4221</v>
      </c>
      <c r="B9" s="422" t="s">
        <v>4219</v>
      </c>
      <c r="C9" s="422" t="s">
        <v>4220</v>
      </c>
      <c r="D9" s="423">
        <v>0.5</v>
      </c>
      <c r="E9" s="424">
        <v>53926.62</v>
      </c>
      <c r="F9" s="81"/>
      <c r="G9" s="81"/>
      <c r="H9" s="81"/>
      <c r="I9" s="81"/>
      <c r="J9" s="81">
        <f t="shared" si="1"/>
        <v>7703.8028571428567</v>
      </c>
      <c r="K9" s="399">
        <f t="shared" si="2"/>
        <v>61630.422857142861</v>
      </c>
      <c r="L9" s="400">
        <f t="shared" si="3"/>
        <v>0</v>
      </c>
      <c r="M9" s="254">
        <f t="shared" si="4"/>
        <v>26963.31</v>
      </c>
      <c r="N9" s="254">
        <f t="shared" si="5"/>
        <v>0</v>
      </c>
      <c r="O9" s="254">
        <f t="shared" si="6"/>
        <v>0</v>
      </c>
      <c r="P9" s="254">
        <f t="shared" si="7"/>
        <v>3851.9014285714284</v>
      </c>
      <c r="Q9" s="254">
        <f t="shared" si="8"/>
        <v>0</v>
      </c>
      <c r="R9" s="254">
        <f t="shared" si="0"/>
        <v>30815.211428571431</v>
      </c>
      <c r="S9" s="81">
        <f t="shared" si="9"/>
        <v>369782.53714285715</v>
      </c>
    </row>
    <row r="10" spans="1:19" ht="25.5" x14ac:dyDescent="0.2">
      <c r="A10" s="421" t="s">
        <v>4269</v>
      </c>
      <c r="B10" s="422"/>
      <c r="C10" s="422" t="s">
        <v>4220</v>
      </c>
      <c r="D10" s="423">
        <v>3</v>
      </c>
      <c r="E10" s="424">
        <v>22308</v>
      </c>
      <c r="F10" s="81"/>
      <c r="G10" s="81"/>
      <c r="H10" s="81"/>
      <c r="I10" s="81"/>
      <c r="J10" s="81">
        <f t="shared" si="1"/>
        <v>3186.8571428571431</v>
      </c>
      <c r="K10" s="399">
        <f t="shared" si="2"/>
        <v>25494.857142857145</v>
      </c>
      <c r="L10" s="400">
        <f t="shared" si="3"/>
        <v>0</v>
      </c>
      <c r="M10" s="254">
        <f t="shared" si="4"/>
        <v>66924</v>
      </c>
      <c r="N10" s="254">
        <f t="shared" si="5"/>
        <v>0</v>
      </c>
      <c r="O10" s="254">
        <f t="shared" si="6"/>
        <v>0</v>
      </c>
      <c r="P10" s="254">
        <f t="shared" si="7"/>
        <v>9560.5714285714294</v>
      </c>
      <c r="Q10" s="254">
        <f t="shared" si="8"/>
        <v>0</v>
      </c>
      <c r="R10" s="254">
        <f t="shared" si="0"/>
        <v>76484.571428571435</v>
      </c>
      <c r="S10" s="81">
        <f t="shared" si="9"/>
        <v>917814.85714285728</v>
      </c>
    </row>
    <row r="11" spans="1:19" ht="38.25" x14ac:dyDescent="0.2">
      <c r="A11" s="421" t="s">
        <v>4223</v>
      </c>
      <c r="B11" s="422" t="s">
        <v>4224</v>
      </c>
      <c r="C11" s="422" t="s">
        <v>4220</v>
      </c>
      <c r="D11" s="423">
        <v>1</v>
      </c>
      <c r="E11" s="424">
        <v>50207.54</v>
      </c>
      <c r="F11" s="81"/>
      <c r="G11" s="81"/>
      <c r="H11" s="81"/>
      <c r="I11" s="81"/>
      <c r="J11" s="81">
        <f t="shared" si="1"/>
        <v>7172.5057142857149</v>
      </c>
      <c r="K11" s="399">
        <f t="shared" si="2"/>
        <v>57380.045714285719</v>
      </c>
      <c r="L11" s="400">
        <f t="shared" si="3"/>
        <v>0</v>
      </c>
      <c r="M11" s="254">
        <f t="shared" si="4"/>
        <v>50207.54</v>
      </c>
      <c r="N11" s="254">
        <f t="shared" si="5"/>
        <v>0</v>
      </c>
      <c r="O11" s="254">
        <f t="shared" si="6"/>
        <v>0</v>
      </c>
      <c r="P11" s="254">
        <f t="shared" si="7"/>
        <v>7172.5057142857149</v>
      </c>
      <c r="Q11" s="254">
        <f t="shared" si="8"/>
        <v>0</v>
      </c>
      <c r="R11" s="254">
        <f t="shared" si="0"/>
        <v>57380.045714285719</v>
      </c>
      <c r="S11" s="81">
        <f t="shared" si="9"/>
        <v>688560.54857142863</v>
      </c>
    </row>
    <row r="12" spans="1:19" ht="38.25" x14ac:dyDescent="0.2">
      <c r="A12" s="421" t="s">
        <v>4225</v>
      </c>
      <c r="B12" s="422" t="s">
        <v>4224</v>
      </c>
      <c r="C12" s="422" t="s">
        <v>4226</v>
      </c>
      <c r="D12" s="423">
        <v>1</v>
      </c>
      <c r="E12" s="424">
        <v>50207.54</v>
      </c>
      <c r="F12" s="399"/>
      <c r="G12" s="399"/>
      <c r="H12" s="399"/>
      <c r="I12" s="399"/>
      <c r="J12" s="81">
        <f t="shared" si="1"/>
        <v>7172.5057142857149</v>
      </c>
      <c r="K12" s="399">
        <f t="shared" si="2"/>
        <v>57380.045714285719</v>
      </c>
      <c r="L12" s="400">
        <f t="shared" si="3"/>
        <v>0</v>
      </c>
      <c r="M12" s="254">
        <f t="shared" si="4"/>
        <v>50207.54</v>
      </c>
      <c r="N12" s="254">
        <f t="shared" si="5"/>
        <v>0</v>
      </c>
      <c r="O12" s="254">
        <f t="shared" si="6"/>
        <v>0</v>
      </c>
      <c r="P12" s="254">
        <f t="shared" si="7"/>
        <v>7172.5057142857149</v>
      </c>
      <c r="Q12" s="254">
        <f t="shared" si="8"/>
        <v>0</v>
      </c>
      <c r="R12" s="254">
        <f t="shared" si="0"/>
        <v>57380.045714285719</v>
      </c>
      <c r="S12" s="81">
        <f t="shared" si="9"/>
        <v>688560.54857142863</v>
      </c>
    </row>
    <row r="13" spans="1:19" ht="51" x14ac:dyDescent="0.2">
      <c r="A13" s="421" t="s">
        <v>4270</v>
      </c>
      <c r="B13" s="422" t="s">
        <v>4228</v>
      </c>
      <c r="C13" s="422" t="s">
        <v>4229</v>
      </c>
      <c r="D13" s="423">
        <v>0.5</v>
      </c>
      <c r="E13" s="424">
        <v>15716</v>
      </c>
      <c r="F13" s="399">
        <f t="shared" ref="F13:F30" si="10">ROUND(E13*0.25,2)</f>
        <v>3929</v>
      </c>
      <c r="G13" s="186"/>
      <c r="H13" s="81"/>
      <c r="I13" s="399">
        <f t="shared" ref="I13:I25" si="11">E13/55*15</f>
        <v>4286.181818181818</v>
      </c>
      <c r="J13" s="81">
        <f t="shared" si="1"/>
        <v>2245.1428571428569</v>
      </c>
      <c r="K13" s="399">
        <f t="shared" si="2"/>
        <v>26176.324675324671</v>
      </c>
      <c r="L13" s="400">
        <f t="shared" si="3"/>
        <v>0</v>
      </c>
      <c r="M13" s="254">
        <f t="shared" si="4"/>
        <v>7858</v>
      </c>
      <c r="N13" s="254">
        <f t="shared" si="5"/>
        <v>2143.090909090909</v>
      </c>
      <c r="O13" s="254">
        <f t="shared" si="6"/>
        <v>1964.5</v>
      </c>
      <c r="P13" s="254">
        <f t="shared" si="7"/>
        <v>1122.5714285714284</v>
      </c>
      <c r="Q13" s="254">
        <f t="shared" si="8"/>
        <v>0</v>
      </c>
      <c r="R13" s="254">
        <f t="shared" si="0"/>
        <v>13088.162337662336</v>
      </c>
      <c r="S13" s="81">
        <f t="shared" si="9"/>
        <v>157057.94805194804</v>
      </c>
    </row>
    <row r="14" spans="1:19" ht="51" x14ac:dyDescent="0.2">
      <c r="A14" s="421" t="s">
        <v>4270</v>
      </c>
      <c r="B14" s="422" t="s">
        <v>4228</v>
      </c>
      <c r="C14" s="422" t="s">
        <v>4271</v>
      </c>
      <c r="D14" s="423">
        <v>2.6</v>
      </c>
      <c r="E14" s="424">
        <v>20821</v>
      </c>
      <c r="F14" s="399">
        <f t="shared" si="10"/>
        <v>5205.25</v>
      </c>
      <c r="G14" s="186"/>
      <c r="H14" s="81"/>
      <c r="I14" s="399">
        <f t="shared" si="11"/>
        <v>5678.454545454545</v>
      </c>
      <c r="J14" s="81">
        <f t="shared" si="1"/>
        <v>2974.4285714285711</v>
      </c>
      <c r="K14" s="399">
        <f t="shared" si="2"/>
        <v>34679.133116883117</v>
      </c>
      <c r="L14" s="400">
        <f t="shared" si="3"/>
        <v>0</v>
      </c>
      <c r="M14" s="254">
        <f t="shared" si="4"/>
        <v>54134.6</v>
      </c>
      <c r="N14" s="254">
        <f t="shared" si="5"/>
        <v>14763.981818181817</v>
      </c>
      <c r="O14" s="254">
        <f t="shared" si="6"/>
        <v>13533.65</v>
      </c>
      <c r="P14" s="254">
        <f t="shared" si="7"/>
        <v>7733.5142857142855</v>
      </c>
      <c r="Q14" s="254">
        <f t="shared" si="8"/>
        <v>0</v>
      </c>
      <c r="R14" s="254">
        <f t="shared" si="0"/>
        <v>90165.74610389609</v>
      </c>
      <c r="S14" s="81">
        <f t="shared" si="9"/>
        <v>1081988.9532467532</v>
      </c>
    </row>
    <row r="15" spans="1:19" ht="25.5" x14ac:dyDescent="0.2">
      <c r="A15" s="421" t="s">
        <v>4270</v>
      </c>
      <c r="B15" s="422" t="s">
        <v>4233</v>
      </c>
      <c r="C15" s="422" t="s">
        <v>4229</v>
      </c>
      <c r="D15" s="423">
        <v>2</v>
      </c>
      <c r="E15" s="424">
        <v>14441</v>
      </c>
      <c r="F15" s="399">
        <f t="shared" si="10"/>
        <v>3610.25</v>
      </c>
      <c r="G15" s="186"/>
      <c r="H15" s="81"/>
      <c r="I15" s="399">
        <f t="shared" si="11"/>
        <v>3938.4545454545455</v>
      </c>
      <c r="J15" s="81">
        <f t="shared" si="1"/>
        <v>2063</v>
      </c>
      <c r="K15" s="399">
        <f t="shared" si="2"/>
        <v>24052.704545454544</v>
      </c>
      <c r="L15" s="400">
        <f t="shared" si="3"/>
        <v>0</v>
      </c>
      <c r="M15" s="254">
        <f t="shared" si="4"/>
        <v>28882</v>
      </c>
      <c r="N15" s="254">
        <f t="shared" si="5"/>
        <v>7876.909090909091</v>
      </c>
      <c r="O15" s="254">
        <f t="shared" si="6"/>
        <v>7220.5</v>
      </c>
      <c r="P15" s="254">
        <f t="shared" si="7"/>
        <v>4126</v>
      </c>
      <c r="Q15" s="254">
        <f t="shared" si="8"/>
        <v>0</v>
      </c>
      <c r="R15" s="254">
        <f t="shared" si="0"/>
        <v>48105.409090909088</v>
      </c>
      <c r="S15" s="81">
        <f t="shared" si="9"/>
        <v>577264.90909090906</v>
      </c>
    </row>
    <row r="16" spans="1:19" x14ac:dyDescent="0.2">
      <c r="A16" s="421" t="s">
        <v>4270</v>
      </c>
      <c r="B16" s="422" t="s">
        <v>4235</v>
      </c>
      <c r="C16" s="422"/>
      <c r="D16" s="423">
        <v>0.9</v>
      </c>
      <c r="E16" s="424">
        <v>24383</v>
      </c>
      <c r="F16" s="399">
        <f t="shared" si="10"/>
        <v>6095.75</v>
      </c>
      <c r="G16" s="399"/>
      <c r="H16" s="81"/>
      <c r="I16" s="399">
        <f t="shared" si="11"/>
        <v>6649.909090909091</v>
      </c>
      <c r="J16" s="81">
        <f t="shared" si="1"/>
        <v>3483.2857142857142</v>
      </c>
      <c r="K16" s="399">
        <f t="shared" si="2"/>
        <v>40611.944805194806</v>
      </c>
      <c r="L16" s="400">
        <f t="shared" si="3"/>
        <v>0</v>
      </c>
      <c r="M16" s="254">
        <f t="shared" si="4"/>
        <v>21944.7</v>
      </c>
      <c r="N16" s="254">
        <f t="shared" si="5"/>
        <v>5984.9181818181823</v>
      </c>
      <c r="O16" s="254">
        <f t="shared" si="6"/>
        <v>5486.1750000000002</v>
      </c>
      <c r="P16" s="254">
        <f t="shared" si="7"/>
        <v>3134.957142857143</v>
      </c>
      <c r="Q16" s="254">
        <f t="shared" si="8"/>
        <v>0</v>
      </c>
      <c r="R16" s="254">
        <f t="shared" si="0"/>
        <v>36550.750324675326</v>
      </c>
      <c r="S16" s="81">
        <f t="shared" si="9"/>
        <v>438609.00389610394</v>
      </c>
    </row>
    <row r="17" spans="1:19" ht="51" x14ac:dyDescent="0.2">
      <c r="A17" s="421" t="s">
        <v>4272</v>
      </c>
      <c r="B17" s="422" t="s">
        <v>4228</v>
      </c>
      <c r="C17" s="422" t="s">
        <v>4273</v>
      </c>
      <c r="D17" s="423">
        <v>0.44444444444444442</v>
      </c>
      <c r="E17" s="424">
        <v>20050</v>
      </c>
      <c r="F17" s="399">
        <f t="shared" si="10"/>
        <v>5012.5</v>
      </c>
      <c r="G17" s="186"/>
      <c r="H17" s="81"/>
      <c r="I17" s="399">
        <f t="shared" si="11"/>
        <v>5468.181818181818</v>
      </c>
      <c r="J17" s="81">
        <f t="shared" si="1"/>
        <v>2864.2857142857147</v>
      </c>
      <c r="K17" s="399">
        <f t="shared" si="2"/>
        <v>33394.967532467534</v>
      </c>
      <c r="L17" s="400">
        <f t="shared" si="3"/>
        <v>0</v>
      </c>
      <c r="M17" s="254">
        <f t="shared" si="4"/>
        <v>8911.1111111111113</v>
      </c>
      <c r="N17" s="254">
        <f t="shared" si="5"/>
        <v>2430.30303030303</v>
      </c>
      <c r="O17" s="254">
        <f t="shared" si="6"/>
        <v>2227.7777777777778</v>
      </c>
      <c r="P17" s="254">
        <f t="shared" si="7"/>
        <v>1273.015873015873</v>
      </c>
      <c r="Q17" s="254">
        <f t="shared" si="8"/>
        <v>0</v>
      </c>
      <c r="R17" s="254">
        <f t="shared" si="0"/>
        <v>14842.207792207791</v>
      </c>
      <c r="S17" s="81">
        <f t="shared" si="9"/>
        <v>178106.49350649351</v>
      </c>
    </row>
    <row r="18" spans="1:19" ht="51" x14ac:dyDescent="0.2">
      <c r="A18" s="421" t="s">
        <v>4272</v>
      </c>
      <c r="B18" s="422" t="s">
        <v>4228</v>
      </c>
      <c r="C18" s="422" t="s">
        <v>4271</v>
      </c>
      <c r="D18" s="423">
        <v>0.44444444444444442</v>
      </c>
      <c r="E18" s="424">
        <v>20821</v>
      </c>
      <c r="F18" s="399">
        <f t="shared" si="10"/>
        <v>5205.25</v>
      </c>
      <c r="G18" s="186"/>
      <c r="H18" s="81"/>
      <c r="I18" s="399">
        <f t="shared" si="11"/>
        <v>5678.454545454545</v>
      </c>
      <c r="J18" s="81">
        <f t="shared" si="1"/>
        <v>2974.4285714285711</v>
      </c>
      <c r="K18" s="399">
        <f t="shared" si="2"/>
        <v>34679.133116883117</v>
      </c>
      <c r="L18" s="400">
        <f t="shared" si="3"/>
        <v>0</v>
      </c>
      <c r="M18" s="254">
        <f t="shared" si="4"/>
        <v>9253.7777777777774</v>
      </c>
      <c r="N18" s="254">
        <f t="shared" si="5"/>
        <v>2523.7575757575755</v>
      </c>
      <c r="O18" s="254">
        <f t="shared" si="6"/>
        <v>2313.4444444444443</v>
      </c>
      <c r="P18" s="254">
        <f t="shared" si="7"/>
        <v>1321.9682539682537</v>
      </c>
      <c r="Q18" s="254">
        <f t="shared" si="8"/>
        <v>0</v>
      </c>
      <c r="R18" s="254">
        <f t="shared" si="0"/>
        <v>15412.948051948053</v>
      </c>
      <c r="S18" s="81">
        <f t="shared" si="9"/>
        <v>184955.37662337662</v>
      </c>
    </row>
    <row r="19" spans="1:19" ht="25.5" x14ac:dyDescent="0.2">
      <c r="A19" s="421" t="s">
        <v>4272</v>
      </c>
      <c r="B19" s="422" t="s">
        <v>4274</v>
      </c>
      <c r="C19" s="422" t="s">
        <v>4229</v>
      </c>
      <c r="D19" s="423">
        <v>0.66666666666666663</v>
      </c>
      <c r="E19" s="424">
        <v>14441</v>
      </c>
      <c r="F19" s="399">
        <f t="shared" si="10"/>
        <v>3610.25</v>
      </c>
      <c r="G19" s="186"/>
      <c r="H19" s="81"/>
      <c r="I19" s="399">
        <f t="shared" si="11"/>
        <v>3938.4545454545455</v>
      </c>
      <c r="J19" s="81">
        <f t="shared" si="1"/>
        <v>2063</v>
      </c>
      <c r="K19" s="399">
        <f t="shared" si="2"/>
        <v>24052.704545454544</v>
      </c>
      <c r="L19" s="400">
        <f t="shared" si="3"/>
        <v>0</v>
      </c>
      <c r="M19" s="254">
        <f t="shared" si="4"/>
        <v>9627.3333333333321</v>
      </c>
      <c r="N19" s="254">
        <f t="shared" si="5"/>
        <v>2625.6363636363635</v>
      </c>
      <c r="O19" s="254">
        <f t="shared" si="6"/>
        <v>2406.833333333333</v>
      </c>
      <c r="P19" s="254">
        <f t="shared" si="7"/>
        <v>1375.3333333333333</v>
      </c>
      <c r="Q19" s="254">
        <f t="shared" si="8"/>
        <v>0</v>
      </c>
      <c r="R19" s="254">
        <f t="shared" si="0"/>
        <v>16035.136363636362</v>
      </c>
      <c r="S19" s="81">
        <f t="shared" si="9"/>
        <v>192421.63636363635</v>
      </c>
    </row>
    <row r="20" spans="1:19" ht="25.5" x14ac:dyDescent="0.2">
      <c r="A20" s="421" t="s">
        <v>4272</v>
      </c>
      <c r="B20" s="422" t="s">
        <v>4274</v>
      </c>
      <c r="C20" s="422" t="s">
        <v>4275</v>
      </c>
      <c r="D20" s="423">
        <v>0.44444444444444442</v>
      </c>
      <c r="E20" s="424">
        <v>15716</v>
      </c>
      <c r="F20" s="399">
        <f t="shared" si="10"/>
        <v>3929</v>
      </c>
      <c r="G20" s="399"/>
      <c r="H20" s="81"/>
      <c r="I20" s="399">
        <f t="shared" si="11"/>
        <v>4286.181818181818</v>
      </c>
      <c r="J20" s="81">
        <f t="shared" si="1"/>
        <v>2245.1428571428569</v>
      </c>
      <c r="K20" s="399">
        <f t="shared" si="2"/>
        <v>26176.324675324671</v>
      </c>
      <c r="L20" s="400">
        <f t="shared" si="3"/>
        <v>0</v>
      </c>
      <c r="M20" s="254">
        <f t="shared" si="4"/>
        <v>6984.8888888888887</v>
      </c>
      <c r="N20" s="254">
        <f t="shared" si="5"/>
        <v>1904.9696969696968</v>
      </c>
      <c r="O20" s="254">
        <f t="shared" si="6"/>
        <v>1746.2222222222222</v>
      </c>
      <c r="P20" s="254">
        <f t="shared" si="7"/>
        <v>997.84126984126965</v>
      </c>
      <c r="Q20" s="254">
        <f t="shared" si="8"/>
        <v>0</v>
      </c>
      <c r="R20" s="254">
        <f t="shared" si="0"/>
        <v>11633.922077922078</v>
      </c>
      <c r="S20" s="81">
        <f t="shared" si="9"/>
        <v>139607.06493506493</v>
      </c>
    </row>
    <row r="21" spans="1:19" ht="25.5" x14ac:dyDescent="0.2">
      <c r="A21" s="421" t="s">
        <v>4272</v>
      </c>
      <c r="B21" s="422" t="s">
        <v>4274</v>
      </c>
      <c r="C21" s="422" t="s">
        <v>4230</v>
      </c>
      <c r="D21" s="423">
        <v>0.66666666666666663</v>
      </c>
      <c r="E21" s="424">
        <v>17498</v>
      </c>
      <c r="F21" s="399">
        <f t="shared" si="10"/>
        <v>4374.5</v>
      </c>
      <c r="G21" s="186"/>
      <c r="H21" s="81"/>
      <c r="I21" s="399">
        <f t="shared" si="11"/>
        <v>4772.181818181818</v>
      </c>
      <c r="J21" s="81">
        <f t="shared" si="1"/>
        <v>2499.7142857142858</v>
      </c>
      <c r="K21" s="399">
        <f t="shared" si="2"/>
        <v>29144.396103896102</v>
      </c>
      <c r="L21" s="400">
        <f t="shared" si="3"/>
        <v>0</v>
      </c>
      <c r="M21" s="254">
        <f t="shared" si="4"/>
        <v>11665.333333333332</v>
      </c>
      <c r="N21" s="254">
        <f t="shared" si="5"/>
        <v>3181.454545454545</v>
      </c>
      <c r="O21" s="254">
        <f t="shared" si="6"/>
        <v>2916.333333333333</v>
      </c>
      <c r="P21" s="254">
        <f t="shared" si="7"/>
        <v>1666.4761904761904</v>
      </c>
      <c r="Q21" s="254">
        <f t="shared" si="8"/>
        <v>0</v>
      </c>
      <c r="R21" s="254">
        <f t="shared" si="0"/>
        <v>19429.597402597399</v>
      </c>
      <c r="S21" s="81">
        <f t="shared" si="9"/>
        <v>233155.16883116879</v>
      </c>
    </row>
    <row r="22" spans="1:19" ht="25.5" x14ac:dyDescent="0.2">
      <c r="A22" s="421" t="s">
        <v>4272</v>
      </c>
      <c r="B22" s="422" t="s">
        <v>4274</v>
      </c>
      <c r="C22" s="422" t="s">
        <v>4231</v>
      </c>
      <c r="D22" s="423">
        <v>1.1111111111111112</v>
      </c>
      <c r="E22" s="424">
        <v>19026</v>
      </c>
      <c r="F22" s="399">
        <f t="shared" si="10"/>
        <v>4756.5</v>
      </c>
      <c r="G22" s="186"/>
      <c r="H22" s="81"/>
      <c r="I22" s="399">
        <f t="shared" si="11"/>
        <v>5188.909090909091</v>
      </c>
      <c r="J22" s="81">
        <f t="shared" si="1"/>
        <v>2718</v>
      </c>
      <c r="K22" s="399">
        <f t="shared" si="2"/>
        <v>31689.409090909092</v>
      </c>
      <c r="L22" s="400">
        <f t="shared" si="3"/>
        <v>0</v>
      </c>
      <c r="M22" s="254">
        <f t="shared" si="4"/>
        <v>21140</v>
      </c>
      <c r="N22" s="254">
        <f t="shared" si="5"/>
        <v>5765.454545454546</v>
      </c>
      <c r="O22" s="254">
        <f t="shared" si="6"/>
        <v>5285</v>
      </c>
      <c r="P22" s="254">
        <f t="shared" si="7"/>
        <v>3020</v>
      </c>
      <c r="Q22" s="254">
        <f t="shared" si="8"/>
        <v>0</v>
      </c>
      <c r="R22" s="254">
        <f t="shared" si="0"/>
        <v>35210.454545454544</v>
      </c>
      <c r="S22" s="81">
        <f t="shared" si="9"/>
        <v>422525.45454545453</v>
      </c>
    </row>
    <row r="23" spans="1:19" ht="25.5" x14ac:dyDescent="0.2">
      <c r="A23" s="421" t="s">
        <v>4272</v>
      </c>
      <c r="B23" s="422" t="s">
        <v>4274</v>
      </c>
      <c r="C23" s="422" t="s">
        <v>4276</v>
      </c>
      <c r="D23" s="423">
        <v>0.22222222222222221</v>
      </c>
      <c r="E23" s="424">
        <v>19540</v>
      </c>
      <c r="F23" s="399">
        <f t="shared" si="10"/>
        <v>4885</v>
      </c>
      <c r="G23" s="186"/>
      <c r="H23" s="81"/>
      <c r="I23" s="399">
        <f t="shared" si="11"/>
        <v>5329.090909090909</v>
      </c>
      <c r="J23" s="81">
        <f t="shared" si="1"/>
        <v>2791.4285714285716</v>
      </c>
      <c r="K23" s="399">
        <f t="shared" si="2"/>
        <v>32545.519480519481</v>
      </c>
      <c r="L23" s="400">
        <f t="shared" si="3"/>
        <v>0</v>
      </c>
      <c r="M23" s="254">
        <f t="shared" si="4"/>
        <v>4342.2222222222217</v>
      </c>
      <c r="N23" s="254">
        <f t="shared" si="5"/>
        <v>1184.2424242424242</v>
      </c>
      <c r="O23" s="254">
        <f t="shared" si="6"/>
        <v>1085.5555555555554</v>
      </c>
      <c r="P23" s="254">
        <f t="shared" si="7"/>
        <v>620.31746031746036</v>
      </c>
      <c r="Q23" s="254">
        <f t="shared" si="8"/>
        <v>0</v>
      </c>
      <c r="R23" s="254">
        <f t="shared" si="0"/>
        <v>7232.3376623376616</v>
      </c>
      <c r="S23" s="81">
        <f t="shared" si="9"/>
        <v>86788.051948051943</v>
      </c>
    </row>
    <row r="24" spans="1:19" x14ac:dyDescent="0.2">
      <c r="A24" s="421" t="s">
        <v>4272</v>
      </c>
      <c r="B24" s="422" t="s">
        <v>4234</v>
      </c>
      <c r="C24" s="422"/>
      <c r="D24" s="423">
        <v>4.666666666666667</v>
      </c>
      <c r="E24" s="424">
        <v>22853</v>
      </c>
      <c r="F24" s="399">
        <f>ROUND(E24*0.25,2)</f>
        <v>5713.25</v>
      </c>
      <c r="G24" s="399"/>
      <c r="H24" s="81"/>
      <c r="I24" s="399">
        <f t="shared" si="11"/>
        <v>6232.636363636364</v>
      </c>
      <c r="J24" s="81">
        <f t="shared" si="1"/>
        <v>3264.7142857142858</v>
      </c>
      <c r="K24" s="399">
        <f t="shared" si="2"/>
        <v>38063.60064935065</v>
      </c>
      <c r="L24" s="400">
        <f t="shared" si="3"/>
        <v>0</v>
      </c>
      <c r="M24" s="254">
        <f t="shared" si="4"/>
        <v>106647.33333333334</v>
      </c>
      <c r="N24" s="254">
        <f t="shared" si="5"/>
        <v>29085.636363636368</v>
      </c>
      <c r="O24" s="254">
        <f t="shared" si="6"/>
        <v>26661.833333333336</v>
      </c>
      <c r="P24" s="254">
        <f t="shared" si="7"/>
        <v>15235.333333333334</v>
      </c>
      <c r="Q24" s="254">
        <f t="shared" si="8"/>
        <v>0</v>
      </c>
      <c r="R24" s="254">
        <f t="shared" si="0"/>
        <v>177630.13636363641</v>
      </c>
      <c r="S24" s="81">
        <f t="shared" si="9"/>
        <v>2131561.6363636367</v>
      </c>
    </row>
    <row r="25" spans="1:19" x14ac:dyDescent="0.2">
      <c r="A25" s="421" t="s">
        <v>4272</v>
      </c>
      <c r="B25" s="422" t="s">
        <v>4235</v>
      </c>
      <c r="C25" s="422"/>
      <c r="D25" s="423">
        <v>4.2222222222222223</v>
      </c>
      <c r="E25" s="424">
        <v>24383</v>
      </c>
      <c r="F25" s="399">
        <f t="shared" si="10"/>
        <v>6095.75</v>
      </c>
      <c r="G25" s="186"/>
      <c r="H25" s="81"/>
      <c r="I25" s="399">
        <f t="shared" si="11"/>
        <v>6649.909090909091</v>
      </c>
      <c r="J25" s="81">
        <f t="shared" si="1"/>
        <v>3483.2857142857142</v>
      </c>
      <c r="K25" s="399">
        <f t="shared" si="2"/>
        <v>40611.944805194806</v>
      </c>
      <c r="L25" s="400">
        <f t="shared" si="3"/>
        <v>0</v>
      </c>
      <c r="M25" s="254">
        <f t="shared" si="4"/>
        <v>102950.44444444445</v>
      </c>
      <c r="N25" s="254">
        <f t="shared" si="5"/>
        <v>28077.39393939394</v>
      </c>
      <c r="O25" s="254">
        <f t="shared" si="6"/>
        <v>25737.611111111113</v>
      </c>
      <c r="P25" s="254">
        <f t="shared" si="7"/>
        <v>14707.20634920635</v>
      </c>
      <c r="Q25" s="254">
        <f t="shared" si="8"/>
        <v>0</v>
      </c>
      <c r="R25" s="254">
        <f t="shared" si="0"/>
        <v>171472.65584415587</v>
      </c>
      <c r="S25" s="81">
        <f t="shared" si="9"/>
        <v>2057671.8701298705</v>
      </c>
    </row>
    <row r="26" spans="1:19" ht="25.5" x14ac:dyDescent="0.2">
      <c r="A26" s="425" t="s">
        <v>4272</v>
      </c>
      <c r="B26" s="426" t="s">
        <v>4274</v>
      </c>
      <c r="C26" s="422" t="s">
        <v>4229</v>
      </c>
      <c r="D26">
        <v>0.33333333333333298</v>
      </c>
      <c r="E26" s="424">
        <v>13133</v>
      </c>
      <c r="F26" s="399">
        <f t="shared" si="10"/>
        <v>3283.25</v>
      </c>
      <c r="G26" s="186"/>
      <c r="H26" s="81"/>
      <c r="I26" s="399">
        <v>13992.624545454546</v>
      </c>
      <c r="J26" s="81">
        <f t="shared" si="1"/>
        <v>1876.1428571428573</v>
      </c>
      <c r="K26" s="399">
        <f>E26+F26+G26+H26+I26+J26</f>
        <v>32285.017402597405</v>
      </c>
      <c r="L26" s="400">
        <f t="shared" si="3"/>
        <v>0</v>
      </c>
      <c r="M26" s="254">
        <f t="shared" si="4"/>
        <v>4377.6666666666624</v>
      </c>
      <c r="N26" s="254">
        <f t="shared" si="5"/>
        <v>4664.2081818181769</v>
      </c>
      <c r="O26" s="254">
        <f t="shared" si="6"/>
        <v>1094.4166666666656</v>
      </c>
      <c r="P26" s="254">
        <f t="shared" si="7"/>
        <v>625.38095238095184</v>
      </c>
      <c r="Q26" s="254">
        <f t="shared" si="8"/>
        <v>0</v>
      </c>
      <c r="R26" s="254">
        <f t="shared" si="0"/>
        <v>10761.672467532459</v>
      </c>
      <c r="S26" s="447">
        <f t="shared" si="9"/>
        <v>129140.0696103895</v>
      </c>
    </row>
    <row r="27" spans="1:19" x14ac:dyDescent="0.2">
      <c r="A27" s="425" t="s">
        <v>4272</v>
      </c>
      <c r="B27" s="426" t="s">
        <v>4234</v>
      </c>
      <c r="C27" s="422"/>
      <c r="D27">
        <v>6.2777777777777777</v>
      </c>
      <c r="E27" s="424">
        <v>20787</v>
      </c>
      <c r="F27" s="399">
        <f t="shared" si="10"/>
        <v>5196.75</v>
      </c>
      <c r="G27" s="186"/>
      <c r="H27" s="81"/>
      <c r="I27" s="399">
        <v>36033.281626065967</v>
      </c>
      <c r="J27" s="81">
        <f t="shared" si="1"/>
        <v>2969.5714285714284</v>
      </c>
      <c r="K27" s="399">
        <f t="shared" si="2"/>
        <v>64986.603054637395</v>
      </c>
      <c r="L27" s="400">
        <f t="shared" si="3"/>
        <v>0</v>
      </c>
      <c r="M27" s="254">
        <f t="shared" si="4"/>
        <v>130496.16666666667</v>
      </c>
      <c r="N27" s="254">
        <f t="shared" si="5"/>
        <v>226208.93465252523</v>
      </c>
      <c r="O27" s="254">
        <f t="shared" si="6"/>
        <v>32624.041666666668</v>
      </c>
      <c r="P27" s="254">
        <f t="shared" si="7"/>
        <v>18642.309523809523</v>
      </c>
      <c r="Q27" s="254">
        <f t="shared" si="8"/>
        <v>0</v>
      </c>
      <c r="R27" s="254">
        <f t="shared" si="0"/>
        <v>407971.45250966813</v>
      </c>
      <c r="S27" s="447">
        <f t="shared" si="9"/>
        <v>4895657.4301160173</v>
      </c>
    </row>
    <row r="28" spans="1:19" x14ac:dyDescent="0.2">
      <c r="A28" s="425" t="s">
        <v>4272</v>
      </c>
      <c r="B28" s="426" t="s">
        <v>4235</v>
      </c>
      <c r="C28" s="422"/>
      <c r="D28">
        <v>25.833333333333332</v>
      </c>
      <c r="E28" s="424">
        <v>22180</v>
      </c>
      <c r="F28" s="399">
        <f t="shared" si="10"/>
        <v>5545</v>
      </c>
      <c r="G28" s="399"/>
      <c r="H28" s="81"/>
      <c r="I28" s="399">
        <v>26352.029270850438</v>
      </c>
      <c r="J28" s="81">
        <f t="shared" si="1"/>
        <v>3168.5714285714284</v>
      </c>
      <c r="K28" s="399">
        <f t="shared" si="2"/>
        <v>57245.60069942187</v>
      </c>
      <c r="L28" s="400">
        <f t="shared" si="3"/>
        <v>0</v>
      </c>
      <c r="M28" s="254">
        <f t="shared" si="4"/>
        <v>572983.33333333326</v>
      </c>
      <c r="N28" s="254">
        <f t="shared" si="5"/>
        <v>680760.75616363634</v>
      </c>
      <c r="O28" s="254">
        <f t="shared" si="6"/>
        <v>143245.83333333331</v>
      </c>
      <c r="P28" s="254">
        <f t="shared" si="7"/>
        <v>81854.761904761894</v>
      </c>
      <c r="Q28" s="254">
        <f t="shared" si="8"/>
        <v>0</v>
      </c>
      <c r="R28" s="254">
        <f t="shared" si="0"/>
        <v>1478844.6847350649</v>
      </c>
      <c r="S28" s="447">
        <f t="shared" si="9"/>
        <v>17746136.216820776</v>
      </c>
    </row>
    <row r="29" spans="1:19" x14ac:dyDescent="0.2">
      <c r="A29" s="422" t="s">
        <v>4277</v>
      </c>
      <c r="B29" s="422" t="s">
        <v>4235</v>
      </c>
      <c r="C29" s="422"/>
      <c r="D29" s="423">
        <v>1.5</v>
      </c>
      <c r="E29" s="401">
        <v>14447</v>
      </c>
      <c r="F29" s="399">
        <f t="shared" si="10"/>
        <v>3611.75</v>
      </c>
      <c r="G29" s="399"/>
      <c r="H29" s="81"/>
      <c r="I29" s="399">
        <f t="shared" ref="I29:I30" si="12">E29/55*15</f>
        <v>3940.0909090909095</v>
      </c>
      <c r="J29" s="81">
        <f t="shared" si="1"/>
        <v>2063.8571428571427</v>
      </c>
      <c r="K29" s="399">
        <f t="shared" si="2"/>
        <v>24062.698051948049</v>
      </c>
      <c r="L29" s="400">
        <f t="shared" si="3"/>
        <v>0</v>
      </c>
      <c r="M29" s="254">
        <f t="shared" si="4"/>
        <v>21670.5</v>
      </c>
      <c r="N29" s="254">
        <f t="shared" si="5"/>
        <v>5910.136363636364</v>
      </c>
      <c r="O29" s="254">
        <f t="shared" si="6"/>
        <v>5417.625</v>
      </c>
      <c r="P29" s="254">
        <f t="shared" si="7"/>
        <v>3095.7857142857138</v>
      </c>
      <c r="Q29" s="254">
        <f t="shared" si="8"/>
        <v>0</v>
      </c>
      <c r="R29" s="254">
        <f t="shared" si="0"/>
        <v>36094.047077922078</v>
      </c>
      <c r="S29" s="81">
        <f t="shared" si="9"/>
        <v>433128.56493506493</v>
      </c>
    </row>
    <row r="30" spans="1:19" x14ac:dyDescent="0.2">
      <c r="A30" s="422" t="s">
        <v>4277</v>
      </c>
      <c r="B30" s="422" t="s">
        <v>4235</v>
      </c>
      <c r="C30" s="422"/>
      <c r="D30" s="423">
        <v>1.25</v>
      </c>
      <c r="E30" s="401">
        <v>19540</v>
      </c>
      <c r="F30" s="399">
        <f t="shared" si="10"/>
        <v>4885</v>
      </c>
      <c r="G30" s="399"/>
      <c r="H30" s="81"/>
      <c r="I30" s="399">
        <f t="shared" si="12"/>
        <v>5329.090909090909</v>
      </c>
      <c r="J30" s="81">
        <f t="shared" si="1"/>
        <v>2791.4285714285716</v>
      </c>
      <c r="K30" s="399">
        <f t="shared" si="2"/>
        <v>32545.519480519481</v>
      </c>
      <c r="L30" s="400">
        <f t="shared" si="3"/>
        <v>0</v>
      </c>
      <c r="M30" s="254">
        <f t="shared" si="4"/>
        <v>24425</v>
      </c>
      <c r="N30" s="254">
        <f t="shared" si="5"/>
        <v>6661.363636363636</v>
      </c>
      <c r="O30" s="254">
        <f t="shared" si="6"/>
        <v>6106.25</v>
      </c>
      <c r="P30" s="254">
        <f t="shared" si="7"/>
        <v>3489.2857142857147</v>
      </c>
      <c r="Q30" s="254">
        <f t="shared" si="8"/>
        <v>0</v>
      </c>
      <c r="R30" s="254">
        <f t="shared" si="0"/>
        <v>40681.89935064935</v>
      </c>
      <c r="S30" s="81">
        <f t="shared" si="9"/>
        <v>488182.79220779217</v>
      </c>
    </row>
    <row r="31" spans="1:19" x14ac:dyDescent="0.2">
      <c r="A31" s="422" t="s">
        <v>4243</v>
      </c>
      <c r="B31" s="422" t="s">
        <v>4239</v>
      </c>
      <c r="C31" s="422"/>
      <c r="D31" s="423">
        <v>1</v>
      </c>
      <c r="E31" s="401">
        <v>12525</v>
      </c>
      <c r="F31" s="427"/>
      <c r="G31" s="81"/>
      <c r="H31" s="81"/>
      <c r="I31" s="81"/>
      <c r="J31" s="81">
        <f t="shared" si="1"/>
        <v>1789.2857142857142</v>
      </c>
      <c r="K31" s="399">
        <f t="shared" si="2"/>
        <v>14314.285714285714</v>
      </c>
      <c r="L31" s="400">
        <f t="shared" si="3"/>
        <v>4685.7142857142862</v>
      </c>
      <c r="M31" s="254">
        <f t="shared" si="4"/>
        <v>12525</v>
      </c>
      <c r="N31" s="254">
        <f t="shared" si="5"/>
        <v>0</v>
      </c>
      <c r="O31" s="254">
        <f t="shared" si="6"/>
        <v>0</v>
      </c>
      <c r="P31" s="254">
        <f t="shared" si="7"/>
        <v>1789.2857142857142</v>
      </c>
      <c r="Q31" s="254">
        <f t="shared" si="8"/>
        <v>4685.7142857142862</v>
      </c>
      <c r="R31" s="254">
        <f t="shared" si="0"/>
        <v>19000</v>
      </c>
      <c r="S31" s="81">
        <f t="shared" si="9"/>
        <v>228000</v>
      </c>
    </row>
    <row r="32" spans="1:19" ht="38.25" x14ac:dyDescent="0.2">
      <c r="A32" s="422" t="s">
        <v>4278</v>
      </c>
      <c r="B32" s="422" t="s">
        <v>4279</v>
      </c>
      <c r="C32" s="422"/>
      <c r="D32" s="423">
        <v>1</v>
      </c>
      <c r="E32" s="401">
        <v>8993</v>
      </c>
      <c r="F32" s="427"/>
      <c r="G32" s="81"/>
      <c r="H32" s="81"/>
      <c r="I32" s="81"/>
      <c r="J32" s="81">
        <f t="shared" si="1"/>
        <v>1284.7142857142856</v>
      </c>
      <c r="K32" s="399">
        <f t="shared" si="2"/>
        <v>10277.714285714286</v>
      </c>
      <c r="L32" s="400">
        <f t="shared" si="3"/>
        <v>8722.2857142857138</v>
      </c>
      <c r="M32" s="254">
        <f t="shared" si="4"/>
        <v>8993</v>
      </c>
      <c r="N32" s="254">
        <f t="shared" si="5"/>
        <v>0</v>
      </c>
      <c r="O32" s="254">
        <f t="shared" si="6"/>
        <v>0</v>
      </c>
      <c r="P32" s="254">
        <f t="shared" si="7"/>
        <v>1284.7142857142856</v>
      </c>
      <c r="Q32" s="254">
        <f t="shared" si="8"/>
        <v>8722.2857142857138</v>
      </c>
      <c r="R32" s="254">
        <f t="shared" si="0"/>
        <v>19000</v>
      </c>
      <c r="S32" s="81">
        <f t="shared" si="9"/>
        <v>228000</v>
      </c>
    </row>
    <row r="33" spans="1:19" ht="25.5" x14ac:dyDescent="0.2">
      <c r="A33" s="422" t="s">
        <v>4248</v>
      </c>
      <c r="B33" s="422" t="s">
        <v>4249</v>
      </c>
      <c r="C33" s="422"/>
      <c r="D33" s="423">
        <v>2</v>
      </c>
      <c r="E33" s="401">
        <v>8810</v>
      </c>
      <c r="F33" s="427"/>
      <c r="G33" s="81"/>
      <c r="H33" s="81"/>
      <c r="I33" s="81"/>
      <c r="J33" s="81">
        <f t="shared" si="1"/>
        <v>1258.5714285714287</v>
      </c>
      <c r="K33" s="399">
        <f t="shared" si="2"/>
        <v>10068.571428571429</v>
      </c>
      <c r="L33" s="400">
        <f t="shared" si="3"/>
        <v>8931.4285714285706</v>
      </c>
      <c r="M33" s="254">
        <f t="shared" si="4"/>
        <v>17620</v>
      </c>
      <c r="N33" s="254">
        <f t="shared" si="5"/>
        <v>0</v>
      </c>
      <c r="O33" s="254">
        <f t="shared" si="6"/>
        <v>0</v>
      </c>
      <c r="P33" s="254">
        <f t="shared" si="7"/>
        <v>2517.1428571428573</v>
      </c>
      <c r="Q33" s="254">
        <f t="shared" si="8"/>
        <v>17862.857142857141</v>
      </c>
      <c r="R33" s="254">
        <f t="shared" si="0"/>
        <v>38000</v>
      </c>
      <c r="S33" s="81">
        <f t="shared" si="9"/>
        <v>456000</v>
      </c>
    </row>
    <row r="34" spans="1:19" x14ac:dyDescent="0.2">
      <c r="A34" s="422" t="s">
        <v>4250</v>
      </c>
      <c r="B34" s="422" t="s">
        <v>4251</v>
      </c>
      <c r="C34" s="422"/>
      <c r="D34" s="423">
        <v>1.25</v>
      </c>
      <c r="E34" s="401">
        <v>7707</v>
      </c>
      <c r="F34" s="427"/>
      <c r="G34" s="81"/>
      <c r="H34" s="81"/>
      <c r="I34" s="81"/>
      <c r="J34" s="81">
        <f t="shared" si="1"/>
        <v>1101</v>
      </c>
      <c r="K34" s="399">
        <f t="shared" si="2"/>
        <v>8808</v>
      </c>
      <c r="L34" s="400">
        <f t="shared" si="3"/>
        <v>10192</v>
      </c>
      <c r="M34" s="254">
        <f t="shared" si="4"/>
        <v>9633.75</v>
      </c>
      <c r="N34" s="254">
        <f t="shared" si="5"/>
        <v>0</v>
      </c>
      <c r="O34" s="254">
        <f t="shared" si="6"/>
        <v>0</v>
      </c>
      <c r="P34" s="254">
        <f t="shared" si="7"/>
        <v>1376.25</v>
      </c>
      <c r="Q34" s="254">
        <f t="shared" si="8"/>
        <v>12740</v>
      </c>
      <c r="R34" s="254">
        <f t="shared" si="0"/>
        <v>23750</v>
      </c>
      <c r="S34" s="81">
        <f t="shared" si="9"/>
        <v>285000</v>
      </c>
    </row>
    <row r="35" spans="1:19" x14ac:dyDescent="0.2">
      <c r="A35" s="422" t="s">
        <v>4252</v>
      </c>
      <c r="B35" s="422" t="s">
        <v>4251</v>
      </c>
      <c r="C35" s="422"/>
      <c r="D35" s="423">
        <v>1</v>
      </c>
      <c r="E35" s="401">
        <v>7707</v>
      </c>
      <c r="F35" s="427"/>
      <c r="G35" s="81"/>
      <c r="H35" s="81"/>
      <c r="I35" s="81"/>
      <c r="J35" s="81">
        <f t="shared" si="1"/>
        <v>1101</v>
      </c>
      <c r="K35" s="399">
        <f t="shared" si="2"/>
        <v>8808</v>
      </c>
      <c r="L35" s="400">
        <f t="shared" si="3"/>
        <v>10192</v>
      </c>
      <c r="M35" s="254">
        <f t="shared" si="4"/>
        <v>7707</v>
      </c>
      <c r="N35" s="254">
        <f t="shared" si="5"/>
        <v>0</v>
      </c>
      <c r="O35" s="254">
        <f t="shared" si="6"/>
        <v>0</v>
      </c>
      <c r="P35" s="254">
        <f t="shared" si="7"/>
        <v>1101</v>
      </c>
      <c r="Q35" s="254">
        <f t="shared" si="8"/>
        <v>10192</v>
      </c>
      <c r="R35" s="254">
        <f t="shared" si="0"/>
        <v>19000</v>
      </c>
      <c r="S35" s="81">
        <f t="shared" si="9"/>
        <v>228000</v>
      </c>
    </row>
    <row r="36" spans="1:19" ht="25.5" x14ac:dyDescent="0.2">
      <c r="A36" s="422" t="s">
        <v>4253</v>
      </c>
      <c r="B36" s="422" t="s">
        <v>4251</v>
      </c>
      <c r="C36" s="422"/>
      <c r="D36" s="423">
        <v>5</v>
      </c>
      <c r="E36" s="401">
        <v>7707</v>
      </c>
      <c r="F36" s="427"/>
      <c r="G36" s="81"/>
      <c r="H36" s="81"/>
      <c r="I36" s="81"/>
      <c r="J36" s="81">
        <f t="shared" si="1"/>
        <v>1101</v>
      </c>
      <c r="K36" s="399">
        <f t="shared" si="2"/>
        <v>8808</v>
      </c>
      <c r="L36" s="400">
        <f t="shared" si="3"/>
        <v>10192</v>
      </c>
      <c r="M36" s="254">
        <f t="shared" si="4"/>
        <v>38535</v>
      </c>
      <c r="N36" s="254">
        <f t="shared" si="5"/>
        <v>0</v>
      </c>
      <c r="O36" s="254">
        <f t="shared" si="6"/>
        <v>0</v>
      </c>
      <c r="P36" s="254">
        <f t="shared" si="7"/>
        <v>5505</v>
      </c>
      <c r="Q36" s="254">
        <f t="shared" si="8"/>
        <v>50960</v>
      </c>
      <c r="R36" s="254">
        <f t="shared" si="0"/>
        <v>95000</v>
      </c>
      <c r="S36" s="81">
        <f t="shared" si="9"/>
        <v>1140000</v>
      </c>
    </row>
    <row r="37" spans="1:19" x14ac:dyDescent="0.2">
      <c r="A37" s="396" t="s">
        <v>4254</v>
      </c>
      <c r="B37" s="81"/>
      <c r="C37" s="81"/>
      <c r="D37" s="186">
        <f>SUM(D4:D36)</f>
        <v>78.833333333333329</v>
      </c>
      <c r="E37" s="81"/>
      <c r="F37" s="81"/>
      <c r="G37" s="81"/>
      <c r="H37" s="81"/>
      <c r="I37" s="81"/>
      <c r="J37" s="81"/>
      <c r="K37" s="81"/>
      <c r="L37" s="81"/>
      <c r="M37" s="186">
        <f>SUM(M4:M36)</f>
        <v>1688661.2511111111</v>
      </c>
      <c r="N37" s="186">
        <f t="shared" ref="N37:S37" si="13">SUM(N4:N36)</f>
        <v>1031767.1474828282</v>
      </c>
      <c r="O37" s="186">
        <f t="shared" si="13"/>
        <v>287088.60277777776</v>
      </c>
      <c r="P37" s="186">
        <f t="shared" si="13"/>
        <v>241251.4644444444</v>
      </c>
      <c r="Q37" s="186">
        <f t="shared" si="13"/>
        <v>105179.85714285714</v>
      </c>
      <c r="R37" s="186">
        <f t="shared" si="13"/>
        <v>3353891.3229590193</v>
      </c>
      <c r="S37" s="186">
        <f t="shared" si="13"/>
        <v>40246498.875508226</v>
      </c>
    </row>
    <row r="40" spans="1:19" x14ac:dyDescent="0.2">
      <c r="A40" s="804" t="s">
        <v>4255</v>
      </c>
      <c r="B40" s="804"/>
      <c r="C40" s="407" t="s">
        <v>4050</v>
      </c>
      <c r="D40" s="408"/>
      <c r="E40" s="408"/>
      <c r="F40" s="408"/>
      <c r="G40" t="s">
        <v>4266</v>
      </c>
      <c r="H40" t="s">
        <v>4267</v>
      </c>
    </row>
    <row r="41" spans="1:19" x14ac:dyDescent="0.2">
      <c r="A41" s="804"/>
      <c r="B41" s="804"/>
      <c r="C41" s="407" t="s">
        <v>4256</v>
      </c>
      <c r="D41" s="407" t="s">
        <v>4257</v>
      </c>
      <c r="E41" s="407" t="s">
        <v>4258</v>
      </c>
      <c r="F41" s="407" t="s">
        <v>4259</v>
      </c>
    </row>
    <row r="42" spans="1:19" x14ac:dyDescent="0.2">
      <c r="A42" s="807" t="s">
        <v>4260</v>
      </c>
      <c r="B42" s="807"/>
      <c r="C42" s="408">
        <v>13</v>
      </c>
      <c r="D42" s="408">
        <v>200</v>
      </c>
      <c r="E42" s="408">
        <v>52</v>
      </c>
      <c r="F42" s="408">
        <v>800</v>
      </c>
    </row>
    <row r="43" spans="1:19" x14ac:dyDescent="0.2">
      <c r="A43" s="805" t="s">
        <v>4261</v>
      </c>
      <c r="B43" s="806"/>
      <c r="C43" s="408">
        <f>C44+C45</f>
        <v>38</v>
      </c>
      <c r="D43" s="408">
        <f>D44+D45</f>
        <v>650</v>
      </c>
      <c r="E43" s="408">
        <f>E44+E45</f>
        <v>152</v>
      </c>
      <c r="F43" s="408">
        <f>F44+F45</f>
        <v>2600</v>
      </c>
    </row>
    <row r="44" spans="1:19" x14ac:dyDescent="0.2">
      <c r="A44" s="410" t="s">
        <v>4262</v>
      </c>
      <c r="B44" s="411"/>
      <c r="C44" s="412">
        <v>38</v>
      </c>
      <c r="D44" s="412">
        <v>650</v>
      </c>
      <c r="E44" s="412">
        <v>152</v>
      </c>
      <c r="F44" s="412">
        <v>2600</v>
      </c>
      <c r="G44" s="428">
        <f>S37-G46</f>
        <v>17475565.158961043</v>
      </c>
      <c r="H44" s="414">
        <f>G44/D44</f>
        <v>26885.484859940065</v>
      </c>
    </row>
    <row r="45" spans="1:19" x14ac:dyDescent="0.2">
      <c r="A45" s="410" t="s">
        <v>4263</v>
      </c>
      <c r="B45" s="411"/>
      <c r="C45" s="412"/>
      <c r="D45" s="412"/>
      <c r="E45" s="412"/>
      <c r="F45" s="412"/>
      <c r="G45" s="428"/>
      <c r="H45" s="414"/>
    </row>
    <row r="46" spans="1:19" x14ac:dyDescent="0.2">
      <c r="A46" s="807" t="s">
        <v>4264</v>
      </c>
      <c r="B46" s="807"/>
      <c r="C46" s="412">
        <v>46</v>
      </c>
      <c r="D46" s="412">
        <v>634</v>
      </c>
      <c r="E46" s="412">
        <v>544.5</v>
      </c>
      <c r="F46" s="412">
        <v>7361.5</v>
      </c>
      <c r="G46" s="428">
        <f>S26+S27+S28</f>
        <v>22770933.716547184</v>
      </c>
      <c r="H46" s="414">
        <f>G46/D46</f>
        <v>35916.299237456129</v>
      </c>
    </row>
    <row r="47" spans="1:19" x14ac:dyDescent="0.2">
      <c r="A47" s="808" t="s">
        <v>4265</v>
      </c>
      <c r="B47" s="808"/>
      <c r="C47" s="413">
        <f>C43+C42+C46</f>
        <v>97</v>
      </c>
      <c r="D47" s="413">
        <f t="shared" ref="D47:F47" si="14">D43+D42+D46</f>
        <v>1484</v>
      </c>
      <c r="E47" s="413">
        <f t="shared" si="14"/>
        <v>748.5</v>
      </c>
      <c r="F47" s="413">
        <f t="shared" si="14"/>
        <v>10761.5</v>
      </c>
      <c r="G47" s="429">
        <f>G46+G44</f>
        <v>40246498.875508226</v>
      </c>
      <c r="H47" s="414">
        <f t="shared" ref="H47" si="15">G47/D47</f>
        <v>27120.282261124143</v>
      </c>
    </row>
    <row r="49" spans="2:11" x14ac:dyDescent="0.2">
      <c r="B49" s="448" t="s">
        <v>4318</v>
      </c>
      <c r="C49" s="448"/>
      <c r="D49" s="448"/>
      <c r="E49" s="448"/>
      <c r="F49" s="448"/>
      <c r="G49" s="448"/>
      <c r="H49" s="448"/>
      <c r="I49" s="448"/>
      <c r="J49" s="448"/>
      <c r="K49" s="448"/>
    </row>
    <row r="50" spans="2:11" s="468" customFormat="1" ht="38.25" x14ac:dyDescent="0.2">
      <c r="B50" s="449" t="s">
        <v>4314</v>
      </c>
      <c r="C50" s="449" t="s">
        <v>4315</v>
      </c>
      <c r="D50" s="449" t="s">
        <v>4316</v>
      </c>
      <c r="E50" s="449" t="s">
        <v>4317</v>
      </c>
      <c r="F50" s="449"/>
      <c r="G50" s="449"/>
      <c r="H50" s="449" t="s">
        <v>4313</v>
      </c>
      <c r="I50" s="449"/>
      <c r="J50" s="450" t="s">
        <v>4208</v>
      </c>
      <c r="K50" s="450" t="s">
        <v>4209</v>
      </c>
    </row>
    <row r="51" spans="2:11" x14ac:dyDescent="0.2">
      <c r="B51" s="451"/>
      <c r="C51" s="451"/>
      <c r="D51" s="451"/>
      <c r="E51" s="451"/>
      <c r="F51" s="451"/>
      <c r="G51" s="451"/>
      <c r="H51" s="451"/>
      <c r="I51" s="451"/>
      <c r="J51" s="451"/>
      <c r="K51" s="451"/>
    </row>
    <row r="52" spans="2:11" x14ac:dyDescent="0.2">
      <c r="B52" s="451">
        <v>0.33333333333333331</v>
      </c>
      <c r="C52" s="451">
        <v>13133</v>
      </c>
      <c r="D52" s="451">
        <v>3283.25</v>
      </c>
      <c r="E52" s="451">
        <v>13133.01</v>
      </c>
      <c r="F52" s="451">
        <v>9849.75</v>
      </c>
      <c r="G52" s="451">
        <f>F52/B52</f>
        <v>29549.25</v>
      </c>
      <c r="H52" s="451">
        <f>G52/1.25</f>
        <v>23639.4</v>
      </c>
      <c r="I52" s="451">
        <f>H52/55*2</f>
        <v>859.61454545454546</v>
      </c>
      <c r="J52" s="451">
        <f>I52+E52</f>
        <v>13992.624545454546</v>
      </c>
      <c r="K52" s="451">
        <f>H52/55*15</f>
        <v>6447.1090909090908</v>
      </c>
    </row>
    <row r="53" spans="2:11" x14ac:dyDescent="0.2">
      <c r="B53" s="451">
        <v>6.2777777777777777</v>
      </c>
      <c r="C53" s="451">
        <v>20787</v>
      </c>
      <c r="D53" s="451">
        <v>5196.75</v>
      </c>
      <c r="E53" s="451">
        <v>34280.15</v>
      </c>
      <c r="F53" s="451">
        <v>378323.37</v>
      </c>
      <c r="G53" s="451">
        <f>F53/B53</f>
        <v>60263.8996460177</v>
      </c>
      <c r="H53" s="451">
        <f>G53/1.25</f>
        <v>48211.119716814159</v>
      </c>
      <c r="I53" s="451">
        <f t="shared" ref="I53:I54" si="16">H53/55*2</f>
        <v>1753.1316260659694</v>
      </c>
      <c r="J53" s="451">
        <f>I53+E53</f>
        <v>36033.281626065967</v>
      </c>
      <c r="K53" s="451">
        <f t="shared" ref="K53:K54" si="17">H53/55*15</f>
        <v>13148.48719549477</v>
      </c>
    </row>
    <row r="54" spans="2:11" x14ac:dyDescent="0.2">
      <c r="B54" s="451">
        <v>25.833333333333332</v>
      </c>
      <c r="C54" s="451">
        <v>22180</v>
      </c>
      <c r="D54" s="451">
        <v>5545</v>
      </c>
      <c r="E54" s="451">
        <v>24823.35</v>
      </c>
      <c r="F54" s="451">
        <v>1357499.04</v>
      </c>
      <c r="G54" s="451">
        <f>F54/B54</f>
        <v>52548.349935483871</v>
      </c>
      <c r="H54" s="451">
        <f>G54/1.25</f>
        <v>42038.6799483871</v>
      </c>
      <c r="I54" s="451">
        <f t="shared" si="16"/>
        <v>1528.6792708504399</v>
      </c>
      <c r="J54" s="451">
        <f>I54+E54</f>
        <v>26352.029270850438</v>
      </c>
      <c r="K54" s="451">
        <f t="shared" si="17"/>
        <v>11465.0945313783</v>
      </c>
    </row>
  </sheetData>
  <mergeCells count="5">
    <mergeCell ref="A40:B41"/>
    <mergeCell ref="A42:B42"/>
    <mergeCell ref="A43:B43"/>
    <mergeCell ref="A46:B46"/>
    <mergeCell ref="A47:B47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workbookViewId="0">
      <selection activeCell="A36" sqref="A36:XFD37"/>
    </sheetView>
  </sheetViews>
  <sheetFormatPr defaultRowHeight="12.75" x14ac:dyDescent="0.2"/>
  <cols>
    <col min="1" max="1" width="4.28515625" customWidth="1"/>
    <col min="2" max="2" width="47.5703125" customWidth="1"/>
    <col min="3" max="3" width="6.140625" customWidth="1"/>
    <col min="4" max="4" width="14.28515625" customWidth="1"/>
    <col min="5" max="5" width="10.140625" customWidth="1"/>
    <col min="6" max="6" width="11.7109375" customWidth="1"/>
  </cols>
  <sheetData>
    <row r="1" spans="1:7" s="24" customFormat="1" ht="15" x14ac:dyDescent="0.2">
      <c r="B1" s="889" t="s">
        <v>125</v>
      </c>
      <c r="C1" s="889"/>
      <c r="D1" s="889"/>
      <c r="E1" s="889"/>
      <c r="F1" s="889"/>
    </row>
    <row r="2" spans="1:7" s="24" customFormat="1" ht="15" x14ac:dyDescent="0.2">
      <c r="B2" s="850" t="s">
        <v>124</v>
      </c>
      <c r="C2" s="850"/>
      <c r="D2" s="850"/>
      <c r="E2" s="850"/>
      <c r="F2" s="850"/>
    </row>
    <row r="3" spans="1:7" s="24" customFormat="1" ht="15" x14ac:dyDescent="0.2"/>
    <row r="4" spans="1:7" s="24" customFormat="1" ht="15" x14ac:dyDescent="0.2"/>
    <row r="5" spans="1:7" s="24" customFormat="1" ht="15" x14ac:dyDescent="0.2"/>
    <row r="6" spans="1:7" ht="15.75" x14ac:dyDescent="0.25">
      <c r="A6" s="10"/>
      <c r="B6" s="10"/>
      <c r="C6" s="10"/>
      <c r="D6" s="10"/>
      <c r="E6" s="10"/>
    </row>
    <row r="7" spans="1:7" ht="37.9" customHeight="1" x14ac:dyDescent="0.2">
      <c r="A7" s="11"/>
      <c r="B7" s="787" t="s">
        <v>3732</v>
      </c>
      <c r="C7" s="787"/>
      <c r="D7" s="787"/>
      <c r="E7" s="787"/>
      <c r="F7" s="787"/>
      <c r="G7" s="25"/>
    </row>
    <row r="8" spans="1:7" x14ac:dyDescent="0.2">
      <c r="A8" s="12"/>
      <c r="B8" s="12"/>
      <c r="C8" s="12"/>
      <c r="D8" s="12"/>
      <c r="E8" s="12"/>
    </row>
    <row r="9" spans="1:7" s="53" customFormat="1" ht="43.15" customHeight="1" x14ac:dyDescent="0.2">
      <c r="A9" s="68" t="s">
        <v>122</v>
      </c>
      <c r="B9" s="68" t="s">
        <v>121</v>
      </c>
      <c r="C9" s="68" t="s">
        <v>3735</v>
      </c>
      <c r="D9" s="68" t="s">
        <v>3738</v>
      </c>
      <c r="E9" s="68" t="s">
        <v>3734</v>
      </c>
      <c r="F9" s="69" t="s">
        <v>3736</v>
      </c>
    </row>
    <row r="10" spans="1:7" ht="19.899999999999999" customHeight="1" x14ac:dyDescent="0.2">
      <c r="A10" s="861" t="s">
        <v>140</v>
      </c>
      <c r="B10" s="862"/>
      <c r="C10" s="862"/>
      <c r="D10" s="862"/>
      <c r="E10" s="862"/>
      <c r="F10" s="863"/>
    </row>
    <row r="11" spans="1:7" ht="24.6" customHeight="1" x14ac:dyDescent="0.2">
      <c r="A11" s="71">
        <v>1</v>
      </c>
      <c r="B11" s="71" t="s">
        <v>1069</v>
      </c>
      <c r="C11" s="70">
        <v>1</v>
      </c>
      <c r="D11" s="70">
        <v>5</v>
      </c>
      <c r="E11" s="76">
        <f>C11*(1/D11)</f>
        <v>0.2</v>
      </c>
      <c r="F11" s="77">
        <f>E11/26</f>
        <v>7.6923076923076927E-3</v>
      </c>
    </row>
    <row r="12" spans="1:7" ht="24.6" customHeight="1" x14ac:dyDescent="0.2">
      <c r="A12" s="71">
        <v>2</v>
      </c>
      <c r="B12" s="71" t="s">
        <v>1071</v>
      </c>
      <c r="C12" s="70">
        <v>1</v>
      </c>
      <c r="D12" s="70">
        <v>7</v>
      </c>
      <c r="E12" s="76">
        <f t="shared" ref="E12:E22" si="0">C12*(1/D12)</f>
        <v>0.14285714285714285</v>
      </c>
      <c r="F12" s="77">
        <f t="shared" ref="F12:F30" si="1">E12/26</f>
        <v>5.4945054945054941E-3</v>
      </c>
    </row>
    <row r="13" spans="1:7" ht="24.6" customHeight="1" x14ac:dyDescent="0.2">
      <c r="A13" s="71">
        <v>3</v>
      </c>
      <c r="B13" s="71" t="s">
        <v>1073</v>
      </c>
      <c r="C13" s="70">
        <v>1</v>
      </c>
      <c r="D13" s="70">
        <v>7</v>
      </c>
      <c r="E13" s="76">
        <f t="shared" si="0"/>
        <v>0.14285714285714285</v>
      </c>
      <c r="F13" s="77">
        <f t="shared" si="1"/>
        <v>5.4945054945054941E-3</v>
      </c>
    </row>
    <row r="14" spans="1:7" ht="24.6" customHeight="1" x14ac:dyDescent="0.2">
      <c r="A14" s="71">
        <v>4</v>
      </c>
      <c r="B14" s="71" t="s">
        <v>1075</v>
      </c>
      <c r="C14" s="70">
        <v>1</v>
      </c>
      <c r="D14" s="70">
        <v>7</v>
      </c>
      <c r="E14" s="76">
        <f t="shared" si="0"/>
        <v>0.14285714285714285</v>
      </c>
      <c r="F14" s="77">
        <f t="shared" si="1"/>
        <v>5.4945054945054941E-3</v>
      </c>
    </row>
    <row r="15" spans="1:7" ht="33.6" customHeight="1" x14ac:dyDescent="0.2">
      <c r="A15" s="71">
        <v>5</v>
      </c>
      <c r="B15" s="71" t="s">
        <v>1369</v>
      </c>
      <c r="C15" s="70">
        <v>13</v>
      </c>
      <c r="D15" s="70">
        <v>7</v>
      </c>
      <c r="E15" s="76">
        <f t="shared" si="0"/>
        <v>1.857142857142857</v>
      </c>
      <c r="F15" s="77">
        <f t="shared" si="1"/>
        <v>7.1428571428571425E-2</v>
      </c>
    </row>
    <row r="16" spans="1:7" ht="24.6" customHeight="1" x14ac:dyDescent="0.2">
      <c r="A16" s="71">
        <v>6</v>
      </c>
      <c r="B16" s="71" t="s">
        <v>1371</v>
      </c>
      <c r="C16" s="70">
        <v>26</v>
      </c>
      <c r="D16" s="70">
        <v>7</v>
      </c>
      <c r="E16" s="76">
        <f t="shared" si="0"/>
        <v>3.714285714285714</v>
      </c>
      <c r="F16" s="77">
        <f t="shared" si="1"/>
        <v>0.14285714285714285</v>
      </c>
    </row>
    <row r="17" spans="1:6" ht="24.6" customHeight="1" x14ac:dyDescent="0.2">
      <c r="A17" s="71">
        <v>7</v>
      </c>
      <c r="B17" s="71" t="s">
        <v>1081</v>
      </c>
      <c r="C17" s="70">
        <v>2</v>
      </c>
      <c r="D17" s="70">
        <v>7</v>
      </c>
      <c r="E17" s="76">
        <f t="shared" si="0"/>
        <v>0.2857142857142857</v>
      </c>
      <c r="F17" s="77">
        <f t="shared" si="1"/>
        <v>1.0989010989010988E-2</v>
      </c>
    </row>
    <row r="18" spans="1:6" ht="30.6" customHeight="1" x14ac:dyDescent="0.2">
      <c r="A18" s="71">
        <v>8</v>
      </c>
      <c r="B18" s="71" t="s">
        <v>1083</v>
      </c>
      <c r="C18" s="70">
        <v>1</v>
      </c>
      <c r="D18" s="70">
        <v>7</v>
      </c>
      <c r="E18" s="76">
        <f t="shared" si="0"/>
        <v>0.14285714285714285</v>
      </c>
      <c r="F18" s="77">
        <f t="shared" si="1"/>
        <v>5.4945054945054941E-3</v>
      </c>
    </row>
    <row r="19" spans="1:6" ht="24.6" customHeight="1" x14ac:dyDescent="0.2">
      <c r="A19" s="71">
        <v>9</v>
      </c>
      <c r="B19" s="71" t="s">
        <v>1088</v>
      </c>
      <c r="C19" s="70">
        <v>1</v>
      </c>
      <c r="D19" s="70">
        <v>7</v>
      </c>
      <c r="E19" s="76">
        <f t="shared" si="0"/>
        <v>0.14285714285714285</v>
      </c>
      <c r="F19" s="77">
        <f t="shared" si="1"/>
        <v>5.4945054945054941E-3</v>
      </c>
    </row>
    <row r="20" spans="1:6" ht="24.6" customHeight="1" x14ac:dyDescent="0.2">
      <c r="A20" s="71">
        <v>10</v>
      </c>
      <c r="B20" s="71" t="s">
        <v>1376</v>
      </c>
      <c r="C20" s="70">
        <v>1</v>
      </c>
      <c r="D20" s="70">
        <v>7</v>
      </c>
      <c r="E20" s="76">
        <f t="shared" si="0"/>
        <v>0.14285714285714285</v>
      </c>
      <c r="F20" s="77">
        <f t="shared" si="1"/>
        <v>5.4945054945054941E-3</v>
      </c>
    </row>
    <row r="21" spans="1:6" ht="24.6" customHeight="1" x14ac:dyDescent="0.2">
      <c r="A21" s="71">
        <v>11</v>
      </c>
      <c r="B21" s="71" t="s">
        <v>1275</v>
      </c>
      <c r="C21" s="70">
        <v>1</v>
      </c>
      <c r="D21" s="70">
        <v>7</v>
      </c>
      <c r="E21" s="76">
        <f t="shared" si="0"/>
        <v>0.14285714285714285</v>
      </c>
      <c r="F21" s="77">
        <f t="shared" si="1"/>
        <v>5.4945054945054941E-3</v>
      </c>
    </row>
    <row r="22" spans="1:6" ht="24.6" customHeight="1" x14ac:dyDescent="0.2">
      <c r="A22" s="71">
        <v>12</v>
      </c>
      <c r="B22" s="71" t="s">
        <v>1086</v>
      </c>
      <c r="C22" s="70">
        <v>1</v>
      </c>
      <c r="D22" s="70">
        <v>7</v>
      </c>
      <c r="E22" s="76">
        <f t="shared" si="0"/>
        <v>0.14285714285714285</v>
      </c>
      <c r="F22" s="77">
        <f t="shared" si="1"/>
        <v>5.4945054945054941E-3</v>
      </c>
    </row>
    <row r="23" spans="1:6" ht="24.6" customHeight="1" x14ac:dyDescent="0.2">
      <c r="A23" s="861" t="s">
        <v>1091</v>
      </c>
      <c r="B23" s="862"/>
      <c r="C23" s="862"/>
      <c r="D23" s="862"/>
      <c r="E23" s="862"/>
      <c r="F23" s="863"/>
    </row>
    <row r="24" spans="1:6" ht="33.6" customHeight="1" x14ac:dyDescent="0.2">
      <c r="A24" s="71">
        <v>1</v>
      </c>
      <c r="B24" s="71" t="s">
        <v>185</v>
      </c>
      <c r="C24" s="70">
        <v>1</v>
      </c>
      <c r="D24" s="70">
        <v>10</v>
      </c>
      <c r="E24" s="77">
        <f t="shared" ref="E24" si="2">C24*(1/D24)</f>
        <v>0.1</v>
      </c>
      <c r="F24" s="77">
        <f t="shared" si="1"/>
        <v>3.8461538461538464E-3</v>
      </c>
    </row>
    <row r="25" spans="1:6" ht="31.9" customHeight="1" x14ac:dyDescent="0.2">
      <c r="A25" s="71">
        <v>2</v>
      </c>
      <c r="B25" s="71" t="s">
        <v>1094</v>
      </c>
      <c r="C25" s="70">
        <v>1</v>
      </c>
      <c r="D25" s="70">
        <v>5</v>
      </c>
      <c r="E25" s="77">
        <f t="shared" ref="E25:E30" si="3">C25*(1/D25)</f>
        <v>0.2</v>
      </c>
      <c r="F25" s="77">
        <f t="shared" si="1"/>
        <v>7.6923076923076927E-3</v>
      </c>
    </row>
    <row r="26" spans="1:6" ht="16.899999999999999" customHeight="1" x14ac:dyDescent="0.2">
      <c r="A26" s="71">
        <v>3</v>
      </c>
      <c r="B26" s="71" t="s">
        <v>1096</v>
      </c>
      <c r="C26" s="70">
        <v>1</v>
      </c>
      <c r="D26" s="70">
        <v>5</v>
      </c>
      <c r="E26" s="77">
        <f t="shared" si="3"/>
        <v>0.2</v>
      </c>
      <c r="F26" s="77">
        <f t="shared" si="1"/>
        <v>7.6923076923076927E-3</v>
      </c>
    </row>
    <row r="27" spans="1:6" ht="16.899999999999999" customHeight="1" x14ac:dyDescent="0.2">
      <c r="A27" s="71">
        <v>4</v>
      </c>
      <c r="B27" s="71" t="s">
        <v>189</v>
      </c>
      <c r="C27" s="70">
        <v>1</v>
      </c>
      <c r="D27" s="70">
        <v>5</v>
      </c>
      <c r="E27" s="77">
        <f t="shared" si="3"/>
        <v>0.2</v>
      </c>
      <c r="F27" s="77">
        <f t="shared" si="1"/>
        <v>7.6923076923076927E-3</v>
      </c>
    </row>
    <row r="28" spans="1:6" ht="16.899999999999999" customHeight="1" x14ac:dyDescent="0.2">
      <c r="A28" s="71">
        <v>5</v>
      </c>
      <c r="B28" s="71" t="s">
        <v>191</v>
      </c>
      <c r="C28" s="70">
        <v>1</v>
      </c>
      <c r="D28" s="70">
        <v>10</v>
      </c>
      <c r="E28" s="77">
        <f t="shared" si="3"/>
        <v>0.1</v>
      </c>
      <c r="F28" s="77">
        <f t="shared" si="1"/>
        <v>3.8461538461538464E-3</v>
      </c>
    </row>
    <row r="29" spans="1:6" ht="16.899999999999999" customHeight="1" x14ac:dyDescent="0.2">
      <c r="A29" s="71">
        <v>6</v>
      </c>
      <c r="B29" s="71" t="s">
        <v>193</v>
      </c>
      <c r="C29" s="70">
        <v>1</v>
      </c>
      <c r="D29" s="70">
        <v>5</v>
      </c>
      <c r="E29" s="77">
        <f t="shared" si="3"/>
        <v>0.2</v>
      </c>
      <c r="F29" s="77">
        <f t="shared" si="1"/>
        <v>7.6923076923076927E-3</v>
      </c>
    </row>
    <row r="30" spans="1:6" ht="16.899999999999999" customHeight="1" x14ac:dyDescent="0.2">
      <c r="A30" s="71">
        <v>7</v>
      </c>
      <c r="B30" s="71" t="s">
        <v>195</v>
      </c>
      <c r="C30" s="70">
        <v>1</v>
      </c>
      <c r="D30" s="70">
        <v>3</v>
      </c>
      <c r="E30" s="77">
        <f t="shared" si="3"/>
        <v>0.33333333333333331</v>
      </c>
      <c r="F30" s="77">
        <f t="shared" si="1"/>
        <v>1.282051282051282E-2</v>
      </c>
    </row>
    <row r="31" spans="1:6" ht="15.6" customHeight="1" x14ac:dyDescent="0.2">
      <c r="A31" s="874" t="s">
        <v>247</v>
      </c>
      <c r="B31" s="874"/>
      <c r="C31" s="874"/>
      <c r="D31" s="874"/>
      <c r="E31" s="874"/>
      <c r="F31" s="874"/>
    </row>
    <row r="32" spans="1:6" ht="15" x14ac:dyDescent="0.2">
      <c r="A32" s="71">
        <v>1</v>
      </c>
      <c r="B32" s="71" t="s">
        <v>3737</v>
      </c>
      <c r="C32" s="79">
        <v>5</v>
      </c>
      <c r="D32" s="79">
        <v>7</v>
      </c>
      <c r="E32" s="77">
        <f t="shared" ref="E32" si="4">C32*(1/D32)</f>
        <v>0.71428571428571419</v>
      </c>
      <c r="F32" s="77">
        <f t="shared" ref="F32" si="5">E32/26</f>
        <v>2.7472527472527469E-2</v>
      </c>
    </row>
    <row r="33" spans="1:6" ht="15" x14ac:dyDescent="0.2">
      <c r="A33" s="71">
        <v>2</v>
      </c>
      <c r="B33" s="71" t="s">
        <v>251</v>
      </c>
      <c r="C33" s="79">
        <v>26</v>
      </c>
      <c r="D33" s="79">
        <v>7</v>
      </c>
      <c r="E33" s="77">
        <f t="shared" ref="E33:E34" si="6">C33*(1/D33)</f>
        <v>3.714285714285714</v>
      </c>
      <c r="F33" s="77">
        <f t="shared" ref="F33:F34" si="7">E33/26</f>
        <v>0.14285714285714285</v>
      </c>
    </row>
    <row r="34" spans="1:6" ht="15" x14ac:dyDescent="0.2">
      <c r="A34" s="71">
        <v>3</v>
      </c>
      <c r="B34" s="71" t="s">
        <v>253</v>
      </c>
      <c r="C34" s="79">
        <v>1</v>
      </c>
      <c r="D34" s="79">
        <v>7</v>
      </c>
      <c r="E34" s="77">
        <f t="shared" si="6"/>
        <v>0.14285714285714285</v>
      </c>
      <c r="F34" s="77">
        <f t="shared" si="7"/>
        <v>5.4945054945054941E-3</v>
      </c>
    </row>
    <row r="35" spans="1:6" ht="15" x14ac:dyDescent="0.2">
      <c r="A35" s="874"/>
      <c r="B35" s="874"/>
      <c r="C35" s="874"/>
      <c r="D35" s="874"/>
      <c r="E35" s="874"/>
      <c r="F35" s="874"/>
    </row>
    <row r="36" spans="1:6" ht="15" hidden="1" x14ac:dyDescent="0.2">
      <c r="A36" s="71">
        <v>5</v>
      </c>
      <c r="B36" s="71" t="s">
        <v>257</v>
      </c>
      <c r="C36" s="79">
        <v>26</v>
      </c>
      <c r="D36" s="79">
        <v>2</v>
      </c>
      <c r="E36" s="77">
        <f t="shared" ref="E36" si="8">C36*(1/D36)</f>
        <v>13</v>
      </c>
      <c r="F36" s="77">
        <f t="shared" ref="F36" si="9">E36/26</f>
        <v>0.5</v>
      </c>
    </row>
    <row r="37" spans="1:6" ht="15" hidden="1" x14ac:dyDescent="0.2">
      <c r="A37" s="71">
        <v>6</v>
      </c>
      <c r="B37" s="71" t="s">
        <v>259</v>
      </c>
      <c r="C37" s="79">
        <v>26</v>
      </c>
      <c r="D37" s="79">
        <v>2</v>
      </c>
      <c r="E37" s="77">
        <f t="shared" ref="E37" si="10">C37*(1/D37)</f>
        <v>13</v>
      </c>
      <c r="F37" s="77">
        <f t="shared" ref="F37" si="11">E37/26</f>
        <v>0.5</v>
      </c>
    </row>
    <row r="39" spans="1:6" ht="15" x14ac:dyDescent="0.2">
      <c r="B39" s="791" t="s">
        <v>3847</v>
      </c>
      <c r="C39" s="791"/>
      <c r="D39" s="791"/>
    </row>
  </sheetData>
  <mergeCells count="8">
    <mergeCell ref="B39:D39"/>
    <mergeCell ref="B1:F1"/>
    <mergeCell ref="B2:F2"/>
    <mergeCell ref="A31:F31"/>
    <mergeCell ref="A35:F35"/>
    <mergeCell ref="A10:F10"/>
    <mergeCell ref="A23:F23"/>
    <mergeCell ref="B7:F7"/>
  </mergeCells>
  <pageMargins left="0.65" right="0.25" top="0.75" bottom="0.75" header="0.3" footer="0.3"/>
  <pageSetup paperSize="9"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J15" sqref="J15"/>
    </sheetView>
  </sheetViews>
  <sheetFormatPr defaultColWidth="8.85546875" defaultRowHeight="12.75" x14ac:dyDescent="0.2"/>
  <cols>
    <col min="1" max="1" width="4.28515625" style="89" customWidth="1"/>
    <col min="2" max="2" width="46" style="89" customWidth="1"/>
    <col min="3" max="3" width="7.5703125" style="89" customWidth="1"/>
    <col min="4" max="4" width="14.28515625" style="89" customWidth="1"/>
    <col min="5" max="5" width="10.140625" style="89" customWidth="1"/>
    <col min="6" max="6" width="11.7109375" style="89" customWidth="1"/>
    <col min="7" max="16384" width="8.85546875" style="89"/>
  </cols>
  <sheetData>
    <row r="1" spans="1:7" s="21" customFormat="1" ht="15" x14ac:dyDescent="0.2">
      <c r="B1" s="907" t="s">
        <v>125</v>
      </c>
      <c r="C1" s="907"/>
      <c r="D1" s="907"/>
      <c r="E1" s="907"/>
      <c r="F1" s="907"/>
    </row>
    <row r="2" spans="1:7" s="21" customFormat="1" ht="15" x14ac:dyDescent="0.2">
      <c r="B2" s="864" t="s">
        <v>124</v>
      </c>
      <c r="C2" s="864"/>
      <c r="D2" s="864"/>
      <c r="E2" s="864"/>
      <c r="F2" s="864"/>
    </row>
    <row r="3" spans="1:7" s="21" customFormat="1" ht="15" x14ac:dyDescent="0.2"/>
    <row r="4" spans="1:7" s="21" customFormat="1" ht="15" x14ac:dyDescent="0.2"/>
    <row r="5" spans="1:7" s="21" customFormat="1" ht="15" x14ac:dyDescent="0.2"/>
    <row r="6" spans="1:7" ht="15.75" x14ac:dyDescent="0.2">
      <c r="A6" s="88"/>
      <c r="B6" s="88"/>
      <c r="C6" s="88"/>
      <c r="D6" s="88"/>
      <c r="E6" s="88"/>
    </row>
    <row r="7" spans="1:7" ht="37.9" customHeight="1" x14ac:dyDescent="0.2">
      <c r="A7" s="90"/>
      <c r="B7" s="785" t="s">
        <v>3748</v>
      </c>
      <c r="C7" s="785"/>
      <c r="D7" s="785"/>
      <c r="E7" s="785"/>
      <c r="F7" s="785"/>
      <c r="G7" s="78"/>
    </row>
    <row r="8" spans="1:7" x14ac:dyDescent="0.2">
      <c r="A8" s="91"/>
      <c r="B8" s="91"/>
      <c r="C8" s="91"/>
      <c r="D8" s="91"/>
      <c r="E8" s="91"/>
    </row>
    <row r="9" spans="1:7" s="53" customFormat="1" ht="43.15" customHeight="1" x14ac:dyDescent="0.2">
      <c r="A9" s="68" t="s">
        <v>122</v>
      </c>
      <c r="B9" s="68" t="s">
        <v>121</v>
      </c>
      <c r="C9" s="68" t="s">
        <v>3745</v>
      </c>
      <c r="D9" s="68" t="s">
        <v>3738</v>
      </c>
      <c r="E9" s="68" t="s">
        <v>3751</v>
      </c>
      <c r="F9" s="69" t="s">
        <v>3746</v>
      </c>
    </row>
    <row r="10" spans="1:7" ht="19.899999999999999" customHeight="1" x14ac:dyDescent="0.2">
      <c r="A10" s="861" t="s">
        <v>140</v>
      </c>
      <c r="B10" s="862"/>
      <c r="C10" s="862"/>
      <c r="D10" s="862"/>
      <c r="E10" s="862"/>
      <c r="F10" s="863"/>
    </row>
    <row r="11" spans="1:7" ht="24.6" customHeight="1" x14ac:dyDescent="0.2">
      <c r="A11" s="71">
        <v>1</v>
      </c>
      <c r="B11" s="71" t="s">
        <v>1069</v>
      </c>
      <c r="C11" s="92">
        <v>1</v>
      </c>
      <c r="D11" s="92">
        <v>5</v>
      </c>
      <c r="E11" s="93">
        <f>C11*(1/D11)</f>
        <v>0.2</v>
      </c>
      <c r="F11" s="94">
        <f>E11/26</f>
        <v>7.6923076923076927E-3</v>
      </c>
    </row>
    <row r="12" spans="1:7" ht="24.6" customHeight="1" x14ac:dyDescent="0.2">
      <c r="A12" s="71">
        <v>2</v>
      </c>
      <c r="B12" s="71" t="s">
        <v>3739</v>
      </c>
      <c r="C12" s="92">
        <v>1</v>
      </c>
      <c r="D12" s="92">
        <v>7</v>
      </c>
      <c r="E12" s="93">
        <f t="shared" ref="E12:E21" si="0">C12*(1/D12)</f>
        <v>0.14285714285714285</v>
      </c>
      <c r="F12" s="94">
        <f t="shared" ref="F12:F21" si="1">E12/26</f>
        <v>5.4945054945054941E-3</v>
      </c>
    </row>
    <row r="13" spans="1:7" ht="24.6" customHeight="1" x14ac:dyDescent="0.2">
      <c r="A13" s="71">
        <v>3</v>
      </c>
      <c r="B13" s="71" t="s">
        <v>3740</v>
      </c>
      <c r="C13" s="92">
        <v>1</v>
      </c>
      <c r="D13" s="92">
        <v>7</v>
      </c>
      <c r="E13" s="93">
        <f t="shared" si="0"/>
        <v>0.14285714285714285</v>
      </c>
      <c r="F13" s="94">
        <f t="shared" si="1"/>
        <v>5.4945054945054941E-3</v>
      </c>
    </row>
    <row r="14" spans="1:7" ht="24.6" customHeight="1" x14ac:dyDescent="0.2">
      <c r="A14" s="71">
        <v>4</v>
      </c>
      <c r="B14" s="71" t="s">
        <v>3741</v>
      </c>
      <c r="C14" s="92">
        <v>1</v>
      </c>
      <c r="D14" s="92">
        <v>7</v>
      </c>
      <c r="E14" s="93">
        <f t="shared" si="0"/>
        <v>0.14285714285714285</v>
      </c>
      <c r="F14" s="94">
        <f t="shared" si="1"/>
        <v>5.4945054945054941E-3</v>
      </c>
    </row>
    <row r="15" spans="1:7" ht="33.6" customHeight="1" x14ac:dyDescent="0.2">
      <c r="A15" s="71">
        <v>5</v>
      </c>
      <c r="B15" s="71" t="s">
        <v>1369</v>
      </c>
      <c r="C15" s="92">
        <v>10</v>
      </c>
      <c r="D15" s="92">
        <v>7</v>
      </c>
      <c r="E15" s="93">
        <f t="shared" si="0"/>
        <v>1.4285714285714284</v>
      </c>
      <c r="F15" s="94">
        <f t="shared" si="1"/>
        <v>5.4945054945054937E-2</v>
      </c>
    </row>
    <row r="16" spans="1:7" ht="24.6" customHeight="1" x14ac:dyDescent="0.2">
      <c r="A16" s="71">
        <v>6</v>
      </c>
      <c r="B16" s="71" t="s">
        <v>1371</v>
      </c>
      <c r="C16" s="92">
        <v>20</v>
      </c>
      <c r="D16" s="92">
        <v>7</v>
      </c>
      <c r="E16" s="93">
        <f t="shared" si="0"/>
        <v>2.8571428571428568</v>
      </c>
      <c r="F16" s="94">
        <f t="shared" si="1"/>
        <v>0.10989010989010987</v>
      </c>
    </row>
    <row r="17" spans="1:6" ht="24.6" customHeight="1" x14ac:dyDescent="0.2">
      <c r="A17" s="71">
        <v>7</v>
      </c>
      <c r="B17" s="71" t="s">
        <v>1081</v>
      </c>
      <c r="C17" s="92">
        <v>2</v>
      </c>
      <c r="D17" s="92">
        <v>7</v>
      </c>
      <c r="E17" s="93">
        <f t="shared" si="0"/>
        <v>0.2857142857142857</v>
      </c>
      <c r="F17" s="94">
        <f t="shared" si="1"/>
        <v>1.0989010989010988E-2</v>
      </c>
    </row>
    <row r="18" spans="1:6" ht="30.6" customHeight="1" x14ac:dyDescent="0.2">
      <c r="A18" s="71">
        <v>8</v>
      </c>
      <c r="B18" s="71" t="s">
        <v>3742</v>
      </c>
      <c r="C18" s="92">
        <v>2</v>
      </c>
      <c r="D18" s="92">
        <v>7</v>
      </c>
      <c r="E18" s="93">
        <f t="shared" si="0"/>
        <v>0.2857142857142857</v>
      </c>
      <c r="F18" s="94">
        <f t="shared" si="1"/>
        <v>1.0989010989010988E-2</v>
      </c>
    </row>
    <row r="19" spans="1:6" ht="24.6" customHeight="1" x14ac:dyDescent="0.2">
      <c r="A19" s="71">
        <v>9</v>
      </c>
      <c r="B19" s="71" t="s">
        <v>3747</v>
      </c>
      <c r="C19" s="92">
        <v>20</v>
      </c>
      <c r="D19" s="92">
        <v>7</v>
      </c>
      <c r="E19" s="93">
        <f t="shared" si="0"/>
        <v>2.8571428571428568</v>
      </c>
      <c r="F19" s="94">
        <f t="shared" si="1"/>
        <v>0.10989010989010987</v>
      </c>
    </row>
    <row r="20" spans="1:6" ht="24.6" customHeight="1" x14ac:dyDescent="0.2">
      <c r="A20" s="71">
        <v>10</v>
      </c>
      <c r="B20" s="71" t="s">
        <v>3743</v>
      </c>
      <c r="C20" s="92">
        <v>20</v>
      </c>
      <c r="D20" s="92">
        <v>7</v>
      </c>
      <c r="E20" s="93">
        <f t="shared" si="0"/>
        <v>2.8571428571428568</v>
      </c>
      <c r="F20" s="94">
        <f t="shared" si="1"/>
        <v>0.10989010989010987</v>
      </c>
    </row>
    <row r="21" spans="1:6" ht="24.6" customHeight="1" x14ac:dyDescent="0.2">
      <c r="A21" s="71">
        <v>11</v>
      </c>
      <c r="B21" s="71" t="s">
        <v>3744</v>
      </c>
      <c r="C21" s="92">
        <v>1</v>
      </c>
      <c r="D21" s="92">
        <v>7</v>
      </c>
      <c r="E21" s="93">
        <f t="shared" si="0"/>
        <v>0.14285714285714285</v>
      </c>
      <c r="F21" s="94">
        <f t="shared" si="1"/>
        <v>5.4945054945054941E-3</v>
      </c>
    </row>
    <row r="23" spans="1:6" ht="15" x14ac:dyDescent="0.2">
      <c r="B23" s="791" t="s">
        <v>3847</v>
      </c>
      <c r="C23" s="791"/>
      <c r="D23" s="791"/>
    </row>
  </sheetData>
  <mergeCells count="5">
    <mergeCell ref="B1:F1"/>
    <mergeCell ref="B2:F2"/>
    <mergeCell ref="B7:F7"/>
    <mergeCell ref="A10:F10"/>
    <mergeCell ref="B23:D23"/>
  </mergeCells>
  <pageMargins left="0.65" right="0.25" top="0.75" bottom="0.75" header="0.3" footer="0.3"/>
  <pageSetup paperSize="9"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24"/>
  <sheetViews>
    <sheetView workbookViewId="0">
      <selection activeCell="B11" sqref="B11:J22"/>
    </sheetView>
  </sheetViews>
  <sheetFormatPr defaultRowHeight="12.75" x14ac:dyDescent="0.2"/>
  <cols>
    <col min="1" max="1" width="4.28515625" customWidth="1"/>
    <col min="2" max="2" width="47.5703125" customWidth="1"/>
    <col min="3" max="3" width="6.140625" customWidth="1"/>
    <col min="4" max="4" width="14" customWidth="1"/>
    <col min="5" max="5" width="10.140625" customWidth="1"/>
    <col min="6" max="6" width="11.7109375" customWidth="1"/>
    <col min="7" max="7" width="14.85546875" customWidth="1"/>
    <col min="9" max="9" width="13.85546875" customWidth="1"/>
  </cols>
  <sheetData>
    <row r="1" spans="1:10" s="297" customFormat="1" ht="15" x14ac:dyDescent="0.2">
      <c r="B1" s="858" t="s">
        <v>125</v>
      </c>
      <c r="C1" s="858"/>
      <c r="D1" s="858"/>
      <c r="E1" s="858"/>
      <c r="F1" s="858"/>
    </row>
    <row r="2" spans="1:10" s="24" customFormat="1" ht="15" x14ac:dyDescent="0.2">
      <c r="B2" s="850" t="s">
        <v>124</v>
      </c>
      <c r="C2" s="850"/>
      <c r="D2" s="850"/>
      <c r="E2" s="850"/>
      <c r="F2" s="850"/>
    </row>
    <row r="3" spans="1:10" s="24" customFormat="1" ht="15" x14ac:dyDescent="0.2"/>
    <row r="4" spans="1:10" s="24" customFormat="1" ht="15" x14ac:dyDescent="0.2"/>
    <row r="5" spans="1:10" s="24" customFormat="1" ht="15" x14ac:dyDescent="0.2"/>
    <row r="6" spans="1:10" ht="15.75" x14ac:dyDescent="0.25">
      <c r="A6" s="10"/>
      <c r="B6" s="10"/>
      <c r="C6" s="10"/>
      <c r="D6" s="10"/>
      <c r="E6" s="10"/>
    </row>
    <row r="7" spans="1:10" ht="43.9" customHeight="1" x14ac:dyDescent="0.2">
      <c r="A7" s="11"/>
      <c r="B7" s="787" t="s">
        <v>3750</v>
      </c>
      <c r="C7" s="787"/>
      <c r="D7" s="787"/>
      <c r="E7" s="787"/>
      <c r="F7" s="787"/>
      <c r="G7" s="787"/>
      <c r="H7" s="787"/>
      <c r="I7" s="787"/>
      <c r="J7" s="787"/>
    </row>
    <row r="8" spans="1:10" x14ac:dyDescent="0.2">
      <c r="A8" s="12"/>
      <c r="B8" s="12"/>
      <c r="C8" s="12"/>
      <c r="D8" s="12"/>
      <c r="E8" s="12"/>
    </row>
    <row r="9" spans="1:10" s="53" customFormat="1" ht="43.15" customHeight="1" x14ac:dyDescent="0.2">
      <c r="A9" s="68" t="s">
        <v>122</v>
      </c>
      <c r="B9" s="68" t="s">
        <v>121</v>
      </c>
      <c r="C9" s="68" t="s">
        <v>3735</v>
      </c>
      <c r="D9" s="68" t="s">
        <v>3738</v>
      </c>
      <c r="E9" s="68" t="s">
        <v>3734</v>
      </c>
      <c r="F9" s="69" t="s">
        <v>3736</v>
      </c>
      <c r="G9" s="291" t="s">
        <v>4197</v>
      </c>
      <c r="H9" s="291" t="s">
        <v>4198</v>
      </c>
      <c r="I9" s="291" t="s">
        <v>4199</v>
      </c>
      <c r="J9" s="379" t="s">
        <v>3835</v>
      </c>
    </row>
    <row r="10" spans="1:10" s="95" customFormat="1" ht="24.6" customHeight="1" x14ac:dyDescent="0.2">
      <c r="A10" s="908" t="s">
        <v>140</v>
      </c>
      <c r="B10" s="908"/>
      <c r="C10" s="908"/>
      <c r="D10" s="908"/>
      <c r="E10" s="908"/>
      <c r="F10" s="908"/>
      <c r="G10" s="908"/>
      <c r="H10" s="908"/>
      <c r="I10" s="908"/>
      <c r="J10" s="908"/>
    </row>
    <row r="11" spans="1:10" ht="24.6" customHeight="1" x14ac:dyDescent="0.2">
      <c r="A11" s="71">
        <v>1</v>
      </c>
      <c r="B11" s="71" t="s">
        <v>1069</v>
      </c>
      <c r="C11" s="70">
        <v>1</v>
      </c>
      <c r="D11" s="70">
        <v>5</v>
      </c>
      <c r="E11" s="76">
        <f>C11*(1/D11)</f>
        <v>0.2</v>
      </c>
      <c r="F11" s="77">
        <f>E11/26</f>
        <v>7.6923076923076927E-3</v>
      </c>
      <c r="G11" s="172">
        <v>16000</v>
      </c>
      <c r="H11" s="172">
        <v>1</v>
      </c>
      <c r="I11" s="172">
        <f t="shared" ref="I11:I17" si="0">G11*H11</f>
        <v>16000</v>
      </c>
      <c r="J11" s="186">
        <f>F11*I11</f>
        <v>123.07692307692308</v>
      </c>
    </row>
    <row r="12" spans="1:10" ht="24.6" customHeight="1" x14ac:dyDescent="0.2">
      <c r="A12" s="71">
        <v>2</v>
      </c>
      <c r="B12" s="71" t="s">
        <v>1071</v>
      </c>
      <c r="C12" s="70">
        <v>1</v>
      </c>
      <c r="D12" s="70">
        <v>7</v>
      </c>
      <c r="E12" s="76">
        <f t="shared" ref="E12:E22" si="1">C12*(1/D12)</f>
        <v>0.14285714285714285</v>
      </c>
      <c r="F12" s="77">
        <f>E12/26</f>
        <v>5.4945054945054941E-3</v>
      </c>
      <c r="G12" s="172">
        <v>2073.86</v>
      </c>
      <c r="H12" s="172">
        <v>1</v>
      </c>
      <c r="I12" s="172">
        <f t="shared" si="0"/>
        <v>2073.86</v>
      </c>
      <c r="J12" s="186">
        <f t="shared" ref="J12:J17" si="2">F12*I12</f>
        <v>11.394835164835165</v>
      </c>
    </row>
    <row r="13" spans="1:10" ht="24.6" customHeight="1" x14ac:dyDescent="0.2">
      <c r="A13" s="71">
        <v>3</v>
      </c>
      <c r="B13" s="71" t="s">
        <v>1073</v>
      </c>
      <c r="C13" s="70">
        <v>1</v>
      </c>
      <c r="D13" s="70">
        <v>7</v>
      </c>
      <c r="E13" s="76">
        <f t="shared" si="1"/>
        <v>0.14285714285714285</v>
      </c>
      <c r="F13" s="77">
        <f t="shared" ref="F13:F22" si="3">E13/26</f>
        <v>5.4945054945054941E-3</v>
      </c>
      <c r="G13" s="172">
        <v>2073.86</v>
      </c>
      <c r="H13" s="172">
        <v>1</v>
      </c>
      <c r="I13" s="172">
        <f t="shared" si="0"/>
        <v>2073.86</v>
      </c>
      <c r="J13" s="186">
        <f t="shared" si="2"/>
        <v>11.394835164835165</v>
      </c>
    </row>
    <row r="14" spans="1:10" ht="24.6" customHeight="1" x14ac:dyDescent="0.2">
      <c r="A14" s="71">
        <v>4</v>
      </c>
      <c r="B14" s="71" t="s">
        <v>1075</v>
      </c>
      <c r="C14" s="70">
        <v>1</v>
      </c>
      <c r="D14" s="70">
        <v>7</v>
      </c>
      <c r="E14" s="76">
        <f t="shared" si="1"/>
        <v>0.14285714285714285</v>
      </c>
      <c r="F14" s="77">
        <f t="shared" si="3"/>
        <v>5.4945054945054941E-3</v>
      </c>
      <c r="G14" s="172">
        <v>15757</v>
      </c>
      <c r="H14" s="172">
        <v>1</v>
      </c>
      <c r="I14" s="172">
        <f t="shared" si="0"/>
        <v>15757</v>
      </c>
      <c r="J14" s="186">
        <f t="shared" si="2"/>
        <v>86.576923076923066</v>
      </c>
    </row>
    <row r="15" spans="1:10" ht="33.6" customHeight="1" x14ac:dyDescent="0.2">
      <c r="A15" s="71">
        <v>5</v>
      </c>
      <c r="B15" s="71" t="s">
        <v>1369</v>
      </c>
      <c r="C15" s="70">
        <v>10</v>
      </c>
      <c r="D15" s="70">
        <v>7</v>
      </c>
      <c r="E15" s="76">
        <f t="shared" si="1"/>
        <v>1.4285714285714284</v>
      </c>
      <c r="F15" s="77">
        <f t="shared" si="3"/>
        <v>5.4945054945054937E-2</v>
      </c>
      <c r="G15" s="172">
        <v>3102</v>
      </c>
      <c r="H15" s="172">
        <v>1</v>
      </c>
      <c r="I15" s="172">
        <f t="shared" si="0"/>
        <v>3102</v>
      </c>
      <c r="J15" s="186">
        <f t="shared" si="2"/>
        <v>170.43956043956041</v>
      </c>
    </row>
    <row r="16" spans="1:10" ht="24.6" customHeight="1" x14ac:dyDescent="0.2">
      <c r="A16" s="71">
        <v>6</v>
      </c>
      <c r="B16" s="71" t="s">
        <v>1371</v>
      </c>
      <c r="C16" s="70">
        <v>20</v>
      </c>
      <c r="D16" s="70">
        <v>7</v>
      </c>
      <c r="E16" s="76">
        <f t="shared" si="1"/>
        <v>2.8571428571428568</v>
      </c>
      <c r="F16" s="77">
        <f t="shared" si="3"/>
        <v>0.10989010989010987</v>
      </c>
      <c r="G16" s="172">
        <v>1200</v>
      </c>
      <c r="H16" s="172">
        <v>1</v>
      </c>
      <c r="I16" s="172">
        <f t="shared" si="0"/>
        <v>1200</v>
      </c>
      <c r="J16" s="186">
        <f t="shared" si="2"/>
        <v>131.86813186813185</v>
      </c>
    </row>
    <row r="17" spans="1:10" ht="24.6" customHeight="1" x14ac:dyDescent="0.2">
      <c r="A17" s="71">
        <v>7</v>
      </c>
      <c r="B17" s="71" t="s">
        <v>1081</v>
      </c>
      <c r="C17" s="70">
        <v>2</v>
      </c>
      <c r="D17" s="70">
        <v>7</v>
      </c>
      <c r="E17" s="76">
        <f t="shared" si="1"/>
        <v>0.2857142857142857</v>
      </c>
      <c r="F17" s="77">
        <f t="shared" si="3"/>
        <v>1.0989010989010988E-2</v>
      </c>
      <c r="G17" s="172">
        <v>4000</v>
      </c>
      <c r="H17" s="172">
        <v>1</v>
      </c>
      <c r="I17" s="172">
        <f t="shared" si="0"/>
        <v>4000</v>
      </c>
      <c r="J17" s="186">
        <f t="shared" si="2"/>
        <v>43.956043956043949</v>
      </c>
    </row>
    <row r="18" spans="1:10" ht="30.6" customHeight="1" x14ac:dyDescent="0.2">
      <c r="A18" s="71">
        <v>8</v>
      </c>
      <c r="B18" s="71" t="s">
        <v>1083</v>
      </c>
      <c r="C18" s="70">
        <v>1</v>
      </c>
      <c r="D18" s="70">
        <v>7</v>
      </c>
      <c r="E18" s="76">
        <f t="shared" si="1"/>
        <v>0.14285714285714285</v>
      </c>
      <c r="F18" s="77">
        <f t="shared" si="3"/>
        <v>5.4945054945054941E-3</v>
      </c>
      <c r="G18" s="172">
        <v>9000</v>
      </c>
      <c r="H18" s="172">
        <v>1</v>
      </c>
      <c r="I18" s="172">
        <f t="shared" ref="I18:I22" si="4">G18*H18</f>
        <v>9000</v>
      </c>
      <c r="J18" s="186">
        <f>F18*I18</f>
        <v>49.450549450549445</v>
      </c>
    </row>
    <row r="19" spans="1:10" ht="24.6" customHeight="1" x14ac:dyDescent="0.2">
      <c r="A19" s="71">
        <v>9</v>
      </c>
      <c r="B19" s="71" t="s">
        <v>1088</v>
      </c>
      <c r="C19" s="70">
        <v>1</v>
      </c>
      <c r="D19" s="70">
        <v>7</v>
      </c>
      <c r="E19" s="76">
        <f t="shared" si="1"/>
        <v>0.14285714285714285</v>
      </c>
      <c r="F19" s="77">
        <f t="shared" si="3"/>
        <v>5.4945054945054941E-3</v>
      </c>
      <c r="G19" s="172">
        <v>3000</v>
      </c>
      <c r="H19" s="172">
        <v>1</v>
      </c>
      <c r="I19" s="172">
        <f t="shared" si="4"/>
        <v>3000</v>
      </c>
      <c r="J19" s="186">
        <f t="shared" ref="J19:J22" si="5">F19*I19</f>
        <v>16.483516483516482</v>
      </c>
    </row>
    <row r="20" spans="1:10" ht="24.6" customHeight="1" x14ac:dyDescent="0.2">
      <c r="A20" s="71">
        <v>10</v>
      </c>
      <c r="B20" s="71" t="s">
        <v>1376</v>
      </c>
      <c r="C20" s="70">
        <v>1</v>
      </c>
      <c r="D20" s="70">
        <v>7</v>
      </c>
      <c r="E20" s="76">
        <f t="shared" si="1"/>
        <v>0.14285714285714285</v>
      </c>
      <c r="F20" s="77">
        <f t="shared" si="3"/>
        <v>5.4945054945054941E-3</v>
      </c>
      <c r="G20" s="228">
        <v>31640</v>
      </c>
      <c r="H20" s="172">
        <v>1</v>
      </c>
      <c r="I20" s="172">
        <f t="shared" si="4"/>
        <v>31640</v>
      </c>
      <c r="J20" s="186">
        <f t="shared" si="5"/>
        <v>173.84615384615384</v>
      </c>
    </row>
    <row r="21" spans="1:10" ht="24.6" customHeight="1" x14ac:dyDescent="0.2">
      <c r="A21" s="71">
        <v>11</v>
      </c>
      <c r="B21" s="71" t="s">
        <v>1275</v>
      </c>
      <c r="C21" s="70">
        <v>1</v>
      </c>
      <c r="D21" s="70">
        <v>7</v>
      </c>
      <c r="E21" s="76">
        <f t="shared" si="1"/>
        <v>0.14285714285714285</v>
      </c>
      <c r="F21" s="77">
        <f t="shared" si="3"/>
        <v>5.4945054945054941E-3</v>
      </c>
      <c r="G21" s="228">
        <v>5515</v>
      </c>
      <c r="H21" s="172">
        <v>1</v>
      </c>
      <c r="I21" s="172">
        <f>G21*H21</f>
        <v>5515</v>
      </c>
      <c r="J21" s="186">
        <f t="shared" si="5"/>
        <v>30.302197802197799</v>
      </c>
    </row>
    <row r="22" spans="1:10" ht="24.6" customHeight="1" x14ac:dyDescent="0.2">
      <c r="A22" s="71">
        <v>12</v>
      </c>
      <c r="B22" s="71" t="s">
        <v>1086</v>
      </c>
      <c r="C22" s="70">
        <v>1</v>
      </c>
      <c r="D22" s="70">
        <v>7</v>
      </c>
      <c r="E22" s="76">
        <f t="shared" si="1"/>
        <v>0.14285714285714285</v>
      </c>
      <c r="F22" s="77">
        <f t="shared" si="3"/>
        <v>5.4945054945054941E-3</v>
      </c>
      <c r="G22" s="228">
        <v>12700</v>
      </c>
      <c r="H22" s="172">
        <v>1</v>
      </c>
      <c r="I22" s="172">
        <f t="shared" si="4"/>
        <v>12700</v>
      </c>
      <c r="J22" s="186">
        <f t="shared" si="5"/>
        <v>69.780219780219781</v>
      </c>
    </row>
    <row r="23" spans="1:10" ht="15" x14ac:dyDescent="0.2">
      <c r="A23" s="81"/>
      <c r="B23" s="137" t="s">
        <v>3825</v>
      </c>
      <c r="C23" s="81"/>
      <c r="D23" s="81"/>
      <c r="E23" s="81"/>
      <c r="F23" s="81"/>
      <c r="G23" s="81"/>
      <c r="H23" s="81"/>
      <c r="I23" s="81"/>
      <c r="J23" s="186">
        <f>SUM(J11:J22)</f>
        <v>918.56989010989003</v>
      </c>
    </row>
    <row r="24" spans="1:10" ht="15" hidden="1" x14ac:dyDescent="0.2">
      <c r="B24" s="791" t="s">
        <v>3847</v>
      </c>
      <c r="C24" s="791"/>
      <c r="D24" s="791"/>
    </row>
  </sheetData>
  <mergeCells count="5">
    <mergeCell ref="B1:F1"/>
    <mergeCell ref="B2:F2"/>
    <mergeCell ref="B24:D24"/>
    <mergeCell ref="A10:J10"/>
    <mergeCell ref="B7:J7"/>
  </mergeCells>
  <pageMargins left="0.65" right="0.25" top="0.75" bottom="0.75" header="0.3" footer="0.3"/>
  <pageSetup paperSize="9" scale="90" orientation="landscape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78"/>
  <sheetViews>
    <sheetView topLeftCell="A52" workbookViewId="0">
      <selection activeCell="B77" sqref="B77"/>
    </sheetView>
  </sheetViews>
  <sheetFormatPr defaultRowHeight="12.75" x14ac:dyDescent="0.2"/>
  <cols>
    <col min="1" max="1" width="4.28515625" customWidth="1"/>
    <col min="2" max="2" width="48.5703125" customWidth="1"/>
    <col min="3" max="3" width="6.140625" customWidth="1"/>
    <col min="4" max="4" width="14.28515625" customWidth="1"/>
    <col min="5" max="5" width="10.140625" style="192" customWidth="1"/>
    <col min="6" max="6" width="11.7109375" style="192" customWidth="1"/>
    <col min="7" max="7" width="12.7109375" style="227" bestFit="1" customWidth="1"/>
    <col min="8" max="8" width="9.28515625" style="227" bestFit="1" customWidth="1"/>
    <col min="9" max="10" width="12" style="227" customWidth="1"/>
  </cols>
  <sheetData>
    <row r="1" spans="1:10" s="24" customFormat="1" ht="15" x14ac:dyDescent="0.2">
      <c r="B1" s="142" t="s">
        <v>125</v>
      </c>
      <c r="C1" s="142"/>
      <c r="D1" s="142"/>
      <c r="E1" s="488"/>
      <c r="F1" s="488"/>
      <c r="G1" s="489"/>
      <c r="H1" s="489"/>
      <c r="I1" s="489"/>
      <c r="J1" s="489"/>
    </row>
    <row r="2" spans="1:10" s="24" customFormat="1" ht="15" x14ac:dyDescent="0.2">
      <c r="B2" s="80" t="s">
        <v>124</v>
      </c>
      <c r="C2" s="80"/>
      <c r="D2" s="80"/>
      <c r="E2" s="488"/>
      <c r="F2" s="488"/>
      <c r="G2" s="489"/>
      <c r="H2" s="489"/>
      <c r="I2" s="489"/>
      <c r="J2" s="489"/>
    </row>
    <row r="3" spans="1:10" s="24" customFormat="1" ht="15" x14ac:dyDescent="0.2">
      <c r="E3" s="488"/>
      <c r="F3" s="488"/>
      <c r="G3" s="489"/>
      <c r="H3" s="489"/>
      <c r="I3" s="489"/>
      <c r="J3" s="489"/>
    </row>
    <row r="4" spans="1:10" s="24" customFormat="1" ht="15" x14ac:dyDescent="0.2">
      <c r="E4" s="488"/>
      <c r="F4" s="488"/>
      <c r="G4" s="489"/>
      <c r="H4" s="489"/>
      <c r="I4" s="489"/>
      <c r="J4" s="489"/>
    </row>
    <row r="5" spans="1:10" s="24" customFormat="1" ht="15" x14ac:dyDescent="0.2">
      <c r="E5" s="488"/>
      <c r="F5" s="488"/>
      <c r="G5" s="489"/>
      <c r="H5" s="489"/>
      <c r="I5" s="489"/>
      <c r="J5" s="489"/>
    </row>
    <row r="6" spans="1:10" ht="15.75" x14ac:dyDescent="0.25">
      <c r="A6" s="10"/>
      <c r="B6" s="10"/>
      <c r="C6" s="10"/>
      <c r="D6" s="10"/>
      <c r="E6" s="511"/>
    </row>
    <row r="7" spans="1:10" ht="43.9" customHeight="1" x14ac:dyDescent="0.2">
      <c r="A7" s="11"/>
      <c r="B7" s="787" t="s">
        <v>3749</v>
      </c>
      <c r="C7" s="787"/>
      <c r="D7" s="787"/>
      <c r="E7" s="787"/>
      <c r="F7" s="787"/>
      <c r="G7" s="787"/>
      <c r="H7" s="787"/>
      <c r="I7" s="787"/>
      <c r="J7" s="787"/>
    </row>
    <row r="8" spans="1:10" x14ac:dyDescent="0.2">
      <c r="A8" s="12"/>
      <c r="B8" s="12"/>
      <c r="C8" s="12"/>
      <c r="D8" s="12"/>
      <c r="E8" s="512"/>
    </row>
    <row r="9" spans="1:10" s="53" customFormat="1" ht="72" customHeight="1" x14ac:dyDescent="0.2">
      <c r="A9" s="68" t="s">
        <v>122</v>
      </c>
      <c r="B9" s="68" t="s">
        <v>121</v>
      </c>
      <c r="C9" s="521" t="s">
        <v>3745</v>
      </c>
      <c r="D9" s="521" t="s">
        <v>3738</v>
      </c>
      <c r="E9" s="521" t="s">
        <v>3751</v>
      </c>
      <c r="F9" s="522" t="s">
        <v>3736</v>
      </c>
      <c r="G9" s="439" t="s">
        <v>4197</v>
      </c>
      <c r="H9" s="439" t="s">
        <v>4198</v>
      </c>
      <c r="I9" s="439" t="s">
        <v>4199</v>
      </c>
      <c r="J9" s="439" t="s">
        <v>3835</v>
      </c>
    </row>
    <row r="10" spans="1:10" ht="24.6" customHeight="1" x14ac:dyDescent="0.2">
      <c r="A10" s="861" t="s">
        <v>549</v>
      </c>
      <c r="B10" s="862"/>
      <c r="C10" s="862"/>
      <c r="D10" s="862"/>
      <c r="E10" s="862"/>
      <c r="F10" s="863"/>
      <c r="G10" s="910"/>
      <c r="H10" s="910"/>
      <c r="I10" s="910"/>
      <c r="J10" s="910"/>
    </row>
    <row r="11" spans="1:10" ht="17.45" customHeight="1" x14ac:dyDescent="0.2">
      <c r="A11" s="71">
        <v>1</v>
      </c>
      <c r="B11" s="71" t="s">
        <v>551</v>
      </c>
      <c r="C11" s="266">
        <v>0.14000000000000001</v>
      </c>
      <c r="D11" s="505">
        <v>5</v>
      </c>
      <c r="E11" s="513">
        <f>C11*(1/D11)</f>
        <v>2.8000000000000004E-2</v>
      </c>
      <c r="F11" s="508">
        <f t="shared" ref="F11:F21" si="0">E11/26</f>
        <v>1.0769230769230771E-3</v>
      </c>
      <c r="G11" s="515">
        <v>20206</v>
      </c>
      <c r="H11" s="515">
        <v>1</v>
      </c>
      <c r="I11" s="515">
        <f>G11*H11</f>
        <v>20206</v>
      </c>
      <c r="J11" s="516">
        <f>I11*F11</f>
        <v>21.760307692307695</v>
      </c>
    </row>
    <row r="12" spans="1:10" ht="17.45" customHeight="1" x14ac:dyDescent="0.2">
      <c r="A12" s="71">
        <v>2</v>
      </c>
      <c r="B12" s="71" t="s">
        <v>334</v>
      </c>
      <c r="C12" s="266">
        <v>7</v>
      </c>
      <c r="D12" s="505">
        <v>2</v>
      </c>
      <c r="E12" s="513">
        <f t="shared" ref="E12:E21" si="1">C12*(1/D12)</f>
        <v>3.5</v>
      </c>
      <c r="F12" s="508">
        <f t="shared" si="0"/>
        <v>0.13461538461538461</v>
      </c>
      <c r="G12" s="515">
        <v>200</v>
      </c>
      <c r="H12" s="515">
        <v>1</v>
      </c>
      <c r="I12" s="515">
        <f t="shared" ref="I12:I16" si="2">G12*H12</f>
        <v>200</v>
      </c>
      <c r="J12" s="516">
        <f t="shared" ref="J12:J16" si="3">I12*F12</f>
        <v>26.923076923076923</v>
      </c>
    </row>
    <row r="13" spans="1:10" ht="17.45" customHeight="1" x14ac:dyDescent="0.2">
      <c r="A13" s="71">
        <v>3</v>
      </c>
      <c r="B13" s="71" t="s">
        <v>554</v>
      </c>
      <c r="C13" s="266">
        <v>0.16</v>
      </c>
      <c r="D13" s="505">
        <v>2</v>
      </c>
      <c r="E13" s="513">
        <f t="shared" si="1"/>
        <v>0.08</v>
      </c>
      <c r="F13" s="508">
        <f t="shared" si="0"/>
        <v>3.0769230769230769E-3</v>
      </c>
      <c r="G13" s="515">
        <v>560</v>
      </c>
      <c r="H13" s="515">
        <v>1</v>
      </c>
      <c r="I13" s="515">
        <f t="shared" si="2"/>
        <v>560</v>
      </c>
      <c r="J13" s="516">
        <f t="shared" si="3"/>
        <v>1.7230769230769232</v>
      </c>
    </row>
    <row r="14" spans="1:10" ht="17.45" customHeight="1" x14ac:dyDescent="0.2">
      <c r="A14" s="71">
        <v>4</v>
      </c>
      <c r="B14" s="71" t="s">
        <v>556</v>
      </c>
      <c r="C14" s="266">
        <v>0.16</v>
      </c>
      <c r="D14" s="505">
        <v>2</v>
      </c>
      <c r="E14" s="513">
        <f t="shared" si="1"/>
        <v>0.08</v>
      </c>
      <c r="F14" s="508">
        <f t="shared" si="0"/>
        <v>3.0769230769230769E-3</v>
      </c>
      <c r="G14" s="515">
        <v>1050</v>
      </c>
      <c r="H14" s="515">
        <v>1</v>
      </c>
      <c r="I14" s="515">
        <f t="shared" si="2"/>
        <v>1050</v>
      </c>
      <c r="J14" s="516">
        <f t="shared" si="3"/>
        <v>3.2307692307692308</v>
      </c>
    </row>
    <row r="15" spans="1:10" ht="17.45" customHeight="1" x14ac:dyDescent="0.2">
      <c r="A15" s="71">
        <v>5</v>
      </c>
      <c r="B15" s="71" t="s">
        <v>558</v>
      </c>
      <c r="C15" s="266">
        <v>0.86</v>
      </c>
      <c r="D15" s="505">
        <v>2</v>
      </c>
      <c r="E15" s="513">
        <f t="shared" si="1"/>
        <v>0.43</v>
      </c>
      <c r="F15" s="508">
        <f t="shared" si="0"/>
        <v>1.6538461538461537E-2</v>
      </c>
      <c r="G15" s="515">
        <v>1140</v>
      </c>
      <c r="H15" s="515">
        <v>1</v>
      </c>
      <c r="I15" s="515">
        <f t="shared" si="2"/>
        <v>1140</v>
      </c>
      <c r="J15" s="516">
        <f t="shared" si="3"/>
        <v>18.853846153846153</v>
      </c>
    </row>
    <row r="16" spans="1:10" ht="17.45" customHeight="1" x14ac:dyDescent="0.2">
      <c r="A16" s="71">
        <v>6</v>
      </c>
      <c r="B16" s="71" t="s">
        <v>560</v>
      </c>
      <c r="C16" s="266">
        <v>1</v>
      </c>
      <c r="D16" s="505">
        <v>2</v>
      </c>
      <c r="E16" s="513">
        <f t="shared" si="1"/>
        <v>0.5</v>
      </c>
      <c r="F16" s="508">
        <f t="shared" si="0"/>
        <v>1.9230769230769232E-2</v>
      </c>
      <c r="G16" s="515">
        <v>2158</v>
      </c>
      <c r="H16" s="515">
        <v>1</v>
      </c>
      <c r="I16" s="515">
        <f t="shared" si="2"/>
        <v>2158</v>
      </c>
      <c r="J16" s="516">
        <f t="shared" si="3"/>
        <v>41.5</v>
      </c>
    </row>
    <row r="17" spans="1:10" ht="17.45" customHeight="1" x14ac:dyDescent="0.2">
      <c r="A17" s="861" t="s">
        <v>648</v>
      </c>
      <c r="B17" s="862"/>
      <c r="C17" s="862"/>
      <c r="D17" s="862"/>
      <c r="E17" s="862"/>
      <c r="F17" s="863"/>
      <c r="G17" s="909"/>
      <c r="H17" s="909"/>
      <c r="I17" s="909"/>
      <c r="J17" s="909"/>
    </row>
    <row r="18" spans="1:10" ht="17.45" customHeight="1" x14ac:dyDescent="0.2">
      <c r="A18" s="71">
        <v>1</v>
      </c>
      <c r="B18" s="71" t="s">
        <v>650</v>
      </c>
      <c r="C18" s="505">
        <v>16</v>
      </c>
      <c r="D18" s="505">
        <v>2</v>
      </c>
      <c r="E18" s="513">
        <f t="shared" si="1"/>
        <v>8</v>
      </c>
      <c r="F18" s="508">
        <f t="shared" si="0"/>
        <v>0.30769230769230771</v>
      </c>
      <c r="G18" s="515">
        <v>249</v>
      </c>
      <c r="H18" s="515">
        <v>1</v>
      </c>
      <c r="I18" s="516">
        <f>G18*H18</f>
        <v>249</v>
      </c>
      <c r="J18" s="516">
        <f>I18*F18</f>
        <v>76.615384615384613</v>
      </c>
    </row>
    <row r="19" spans="1:10" ht="17.45" customHeight="1" x14ac:dyDescent="0.2">
      <c r="A19" s="71">
        <v>2</v>
      </c>
      <c r="B19" s="71" t="s">
        <v>652</v>
      </c>
      <c r="C19" s="505">
        <v>16</v>
      </c>
      <c r="D19" s="505">
        <v>3</v>
      </c>
      <c r="E19" s="513">
        <f t="shared" si="1"/>
        <v>5.333333333333333</v>
      </c>
      <c r="F19" s="508">
        <f t="shared" si="0"/>
        <v>0.20512820512820512</v>
      </c>
      <c r="G19" s="515">
        <v>2563</v>
      </c>
      <c r="H19" s="515">
        <v>1</v>
      </c>
      <c r="I19" s="516">
        <f t="shared" ref="I19:I46" si="4">G19*H19</f>
        <v>2563</v>
      </c>
      <c r="J19" s="516">
        <f t="shared" ref="J19:J46" si="5">I19*F19</f>
        <v>525.74358974358972</v>
      </c>
    </row>
    <row r="20" spans="1:10" ht="17.45" customHeight="1" x14ac:dyDescent="0.2">
      <c r="A20" s="71">
        <v>3</v>
      </c>
      <c r="B20" s="71" t="s">
        <v>654</v>
      </c>
      <c r="C20" s="505">
        <v>16</v>
      </c>
      <c r="D20" s="505">
        <v>2</v>
      </c>
      <c r="E20" s="513">
        <f t="shared" si="1"/>
        <v>8</v>
      </c>
      <c r="F20" s="508">
        <f t="shared" si="0"/>
        <v>0.30769230769230771</v>
      </c>
      <c r="G20" s="515">
        <v>1030</v>
      </c>
      <c r="H20" s="515">
        <v>1</v>
      </c>
      <c r="I20" s="516">
        <f t="shared" si="4"/>
        <v>1030</v>
      </c>
      <c r="J20" s="516">
        <f t="shared" si="5"/>
        <v>316.92307692307696</v>
      </c>
    </row>
    <row r="21" spans="1:10" ht="17.45" customHeight="1" x14ac:dyDescent="0.2">
      <c r="A21" s="71">
        <v>4</v>
      </c>
      <c r="B21" s="71" t="s">
        <v>656</v>
      </c>
      <c r="C21" s="505">
        <v>1</v>
      </c>
      <c r="D21" s="505">
        <v>3</v>
      </c>
      <c r="E21" s="513">
        <f t="shared" si="1"/>
        <v>0.33333333333333331</v>
      </c>
      <c r="F21" s="508">
        <f t="shared" si="0"/>
        <v>1.282051282051282E-2</v>
      </c>
      <c r="G21" s="515">
        <v>490</v>
      </c>
      <c r="H21" s="515">
        <v>1</v>
      </c>
      <c r="I21" s="516">
        <f t="shared" si="4"/>
        <v>490</v>
      </c>
      <c r="J21" s="516">
        <f t="shared" si="5"/>
        <v>6.2820512820512819</v>
      </c>
    </row>
    <row r="22" spans="1:10" ht="17.45" customHeight="1" x14ac:dyDescent="0.2">
      <c r="A22" s="71">
        <v>5</v>
      </c>
      <c r="B22" s="71" t="s">
        <v>658</v>
      </c>
      <c r="C22" s="505">
        <v>16</v>
      </c>
      <c r="D22" s="505">
        <v>5</v>
      </c>
      <c r="E22" s="513">
        <f t="shared" ref="E22:E31" si="6">C22*(1/D22)</f>
        <v>3.2</v>
      </c>
      <c r="F22" s="508">
        <f t="shared" ref="F22:F31" si="7">E22/26</f>
        <v>0.12307692307692308</v>
      </c>
      <c r="G22" s="515">
        <v>1300</v>
      </c>
      <c r="H22" s="515">
        <v>1</v>
      </c>
      <c r="I22" s="516">
        <f t="shared" si="4"/>
        <v>1300</v>
      </c>
      <c r="J22" s="516">
        <f t="shared" si="5"/>
        <v>160</v>
      </c>
    </row>
    <row r="23" spans="1:10" ht="17.45" customHeight="1" x14ac:dyDescent="0.2">
      <c r="A23" s="71">
        <v>6</v>
      </c>
      <c r="B23" s="71" t="s">
        <v>660</v>
      </c>
      <c r="C23" s="505">
        <v>16</v>
      </c>
      <c r="D23" s="505">
        <v>5</v>
      </c>
      <c r="E23" s="513">
        <f t="shared" si="6"/>
        <v>3.2</v>
      </c>
      <c r="F23" s="508">
        <f t="shared" si="7"/>
        <v>0.12307692307692308</v>
      </c>
      <c r="G23" s="515">
        <v>690</v>
      </c>
      <c r="H23" s="515">
        <v>1</v>
      </c>
      <c r="I23" s="516">
        <f t="shared" si="4"/>
        <v>690</v>
      </c>
      <c r="J23" s="516">
        <f t="shared" si="5"/>
        <v>84.923076923076934</v>
      </c>
    </row>
    <row r="24" spans="1:10" ht="17.45" customHeight="1" x14ac:dyDescent="0.2">
      <c r="A24" s="71">
        <v>7</v>
      </c>
      <c r="B24" s="71" t="s">
        <v>662</v>
      </c>
      <c r="C24" s="505">
        <v>1</v>
      </c>
      <c r="D24" s="505">
        <v>4</v>
      </c>
      <c r="E24" s="513">
        <f t="shared" si="6"/>
        <v>0.25</v>
      </c>
      <c r="F24" s="508">
        <f t="shared" si="7"/>
        <v>9.6153846153846159E-3</v>
      </c>
      <c r="G24" s="515">
        <v>54000</v>
      </c>
      <c r="H24" s="515">
        <v>1</v>
      </c>
      <c r="I24" s="516">
        <f t="shared" si="4"/>
        <v>54000</v>
      </c>
      <c r="J24" s="516">
        <f t="shared" si="5"/>
        <v>519.23076923076928</v>
      </c>
    </row>
    <row r="25" spans="1:10" ht="17.45" customHeight="1" x14ac:dyDescent="0.2">
      <c r="A25" s="71">
        <v>8</v>
      </c>
      <c r="B25" s="71" t="s">
        <v>664</v>
      </c>
      <c r="C25" s="505">
        <v>1</v>
      </c>
      <c r="D25" s="505">
        <v>5</v>
      </c>
      <c r="E25" s="513">
        <f t="shared" si="6"/>
        <v>0.2</v>
      </c>
      <c r="F25" s="508">
        <f t="shared" si="7"/>
        <v>7.6923076923076927E-3</v>
      </c>
      <c r="G25" s="515">
        <v>789</v>
      </c>
      <c r="H25" s="515">
        <v>1</v>
      </c>
      <c r="I25" s="516">
        <f t="shared" si="4"/>
        <v>789</v>
      </c>
      <c r="J25" s="516">
        <f t="shared" si="5"/>
        <v>6.0692307692307699</v>
      </c>
    </row>
    <row r="26" spans="1:10" ht="17.45" customHeight="1" x14ac:dyDescent="0.2">
      <c r="A26" s="71">
        <v>9</v>
      </c>
      <c r="B26" s="71" t="s">
        <v>666</v>
      </c>
      <c r="C26" s="505">
        <v>16</v>
      </c>
      <c r="D26" s="505">
        <v>5</v>
      </c>
      <c r="E26" s="513">
        <f t="shared" si="6"/>
        <v>3.2</v>
      </c>
      <c r="F26" s="508">
        <f t="shared" si="7"/>
        <v>0.12307692307692308</v>
      </c>
      <c r="G26" s="515">
        <v>1079</v>
      </c>
      <c r="H26" s="515">
        <v>1</v>
      </c>
      <c r="I26" s="516">
        <f t="shared" si="4"/>
        <v>1079</v>
      </c>
      <c r="J26" s="516">
        <f t="shared" si="5"/>
        <v>132.80000000000001</v>
      </c>
    </row>
    <row r="27" spans="1:10" ht="17.45" customHeight="1" x14ac:dyDescent="0.2">
      <c r="A27" s="71">
        <v>10</v>
      </c>
      <c r="B27" s="71" t="s">
        <v>668</v>
      </c>
      <c r="C27" s="505">
        <v>3</v>
      </c>
      <c r="D27" s="505">
        <v>4</v>
      </c>
      <c r="E27" s="513">
        <f t="shared" si="6"/>
        <v>0.75</v>
      </c>
      <c r="F27" s="508">
        <f t="shared" si="7"/>
        <v>2.8846153846153848E-2</v>
      </c>
      <c r="G27" s="515">
        <v>2300</v>
      </c>
      <c r="H27" s="515">
        <v>1</v>
      </c>
      <c r="I27" s="516">
        <f t="shared" si="4"/>
        <v>2300</v>
      </c>
      <c r="J27" s="516">
        <f t="shared" si="5"/>
        <v>66.346153846153854</v>
      </c>
    </row>
    <row r="28" spans="1:10" ht="17.45" customHeight="1" x14ac:dyDescent="0.2">
      <c r="A28" s="71">
        <v>11</v>
      </c>
      <c r="B28" s="71" t="s">
        <v>670</v>
      </c>
      <c r="C28" s="505">
        <v>1</v>
      </c>
      <c r="D28" s="505">
        <v>5</v>
      </c>
      <c r="E28" s="513">
        <f t="shared" si="6"/>
        <v>0.2</v>
      </c>
      <c r="F28" s="508">
        <f t="shared" si="7"/>
        <v>7.6923076923076927E-3</v>
      </c>
      <c r="G28" s="515">
        <v>218</v>
      </c>
      <c r="H28" s="515">
        <v>1</v>
      </c>
      <c r="I28" s="516">
        <f t="shared" si="4"/>
        <v>218</v>
      </c>
      <c r="J28" s="516">
        <f t="shared" si="5"/>
        <v>1.676923076923077</v>
      </c>
    </row>
    <row r="29" spans="1:10" ht="17.45" customHeight="1" x14ac:dyDescent="0.2">
      <c r="A29" s="71">
        <v>12</v>
      </c>
      <c r="B29" s="71" t="s">
        <v>672</v>
      </c>
      <c r="C29" s="505">
        <v>1</v>
      </c>
      <c r="D29" s="505">
        <v>5</v>
      </c>
      <c r="E29" s="513">
        <f t="shared" si="6"/>
        <v>0.2</v>
      </c>
      <c r="F29" s="508">
        <f t="shared" si="7"/>
        <v>7.6923076923076927E-3</v>
      </c>
      <c r="G29" s="515">
        <v>611</v>
      </c>
      <c r="H29" s="515">
        <v>1</v>
      </c>
      <c r="I29" s="516">
        <f t="shared" si="4"/>
        <v>611</v>
      </c>
      <c r="J29" s="516">
        <f t="shared" si="5"/>
        <v>4.7</v>
      </c>
    </row>
    <row r="30" spans="1:10" ht="17.45" customHeight="1" x14ac:dyDescent="0.2">
      <c r="A30" s="71">
        <v>13</v>
      </c>
      <c r="B30" s="71" t="s">
        <v>674</v>
      </c>
      <c r="C30" s="505">
        <v>1</v>
      </c>
      <c r="D30" s="505">
        <v>3</v>
      </c>
      <c r="E30" s="513">
        <f t="shared" si="6"/>
        <v>0.33333333333333331</v>
      </c>
      <c r="F30" s="508">
        <f t="shared" si="7"/>
        <v>1.282051282051282E-2</v>
      </c>
      <c r="G30" s="515">
        <v>1450</v>
      </c>
      <c r="H30" s="515">
        <v>1</v>
      </c>
      <c r="I30" s="516">
        <f t="shared" si="4"/>
        <v>1450</v>
      </c>
      <c r="J30" s="516">
        <f t="shared" si="5"/>
        <v>18.589743589743588</v>
      </c>
    </row>
    <row r="31" spans="1:10" ht="17.45" customHeight="1" x14ac:dyDescent="0.2">
      <c r="A31" s="71">
        <v>14</v>
      </c>
      <c r="B31" s="71" t="s">
        <v>676</v>
      </c>
      <c r="C31" s="505">
        <v>3</v>
      </c>
      <c r="D31" s="505">
        <v>3</v>
      </c>
      <c r="E31" s="513">
        <f t="shared" si="6"/>
        <v>1</v>
      </c>
      <c r="F31" s="508">
        <f t="shared" si="7"/>
        <v>3.8461538461538464E-2</v>
      </c>
      <c r="G31" s="515">
        <v>574</v>
      </c>
      <c r="H31" s="515">
        <v>1</v>
      </c>
      <c r="I31" s="516">
        <f t="shared" si="4"/>
        <v>574</v>
      </c>
      <c r="J31" s="516">
        <f t="shared" si="5"/>
        <v>22.076923076923077</v>
      </c>
    </row>
    <row r="32" spans="1:10" ht="17.45" customHeight="1" x14ac:dyDescent="0.2">
      <c r="A32" s="71">
        <v>15</v>
      </c>
      <c r="B32" s="71" t="s">
        <v>678</v>
      </c>
      <c r="C32" s="505">
        <v>16</v>
      </c>
      <c r="D32" s="505">
        <v>1</v>
      </c>
      <c r="E32" s="513">
        <f t="shared" ref="E32:E46" si="8">C32*(1/D32)</f>
        <v>16</v>
      </c>
      <c r="F32" s="508">
        <f t="shared" ref="F32:F46" si="9">E32/26</f>
        <v>0.61538461538461542</v>
      </c>
      <c r="G32" s="515">
        <v>155</v>
      </c>
      <c r="H32" s="515">
        <v>1</v>
      </c>
      <c r="I32" s="516">
        <f t="shared" si="4"/>
        <v>155</v>
      </c>
      <c r="J32" s="516">
        <f t="shared" si="5"/>
        <v>95.384615384615387</v>
      </c>
    </row>
    <row r="33" spans="1:10" ht="17.45" customHeight="1" x14ac:dyDescent="0.2">
      <c r="A33" s="71">
        <v>16</v>
      </c>
      <c r="B33" s="71" t="s">
        <v>680</v>
      </c>
      <c r="C33" s="505">
        <v>16</v>
      </c>
      <c r="D33" s="505">
        <v>1</v>
      </c>
      <c r="E33" s="513">
        <f t="shared" si="8"/>
        <v>16</v>
      </c>
      <c r="F33" s="508">
        <f t="shared" si="9"/>
        <v>0.61538461538461542</v>
      </c>
      <c r="G33" s="515">
        <v>735</v>
      </c>
      <c r="H33" s="515">
        <v>1</v>
      </c>
      <c r="I33" s="516">
        <f t="shared" si="4"/>
        <v>735</v>
      </c>
      <c r="J33" s="516">
        <f t="shared" si="5"/>
        <v>452.30769230769232</v>
      </c>
    </row>
    <row r="34" spans="1:10" ht="17.45" customHeight="1" x14ac:dyDescent="0.2">
      <c r="A34" s="71">
        <v>17</v>
      </c>
      <c r="B34" s="71" t="s">
        <v>682</v>
      </c>
      <c r="C34" s="505">
        <v>3</v>
      </c>
      <c r="D34" s="505">
        <v>2</v>
      </c>
      <c r="E34" s="513">
        <f t="shared" si="8"/>
        <v>1.5</v>
      </c>
      <c r="F34" s="508">
        <f t="shared" si="9"/>
        <v>5.7692307692307696E-2</v>
      </c>
      <c r="G34" s="515">
        <v>142</v>
      </c>
      <c r="H34" s="515">
        <v>1</v>
      </c>
      <c r="I34" s="516">
        <f t="shared" si="4"/>
        <v>142</v>
      </c>
      <c r="J34" s="516">
        <f t="shared" si="5"/>
        <v>8.1923076923076934</v>
      </c>
    </row>
    <row r="35" spans="1:10" ht="17.45" customHeight="1" x14ac:dyDescent="0.2">
      <c r="A35" s="71">
        <v>18</v>
      </c>
      <c r="B35" s="71" t="s">
        <v>684</v>
      </c>
      <c r="C35" s="505">
        <v>3</v>
      </c>
      <c r="D35" s="505">
        <v>2</v>
      </c>
      <c r="E35" s="513">
        <f t="shared" si="8"/>
        <v>1.5</v>
      </c>
      <c r="F35" s="508">
        <f t="shared" si="9"/>
        <v>5.7692307692307696E-2</v>
      </c>
      <c r="G35" s="515">
        <v>413</v>
      </c>
      <c r="H35" s="515">
        <v>1</v>
      </c>
      <c r="I35" s="516">
        <f t="shared" si="4"/>
        <v>413</v>
      </c>
      <c r="J35" s="516">
        <f t="shared" si="5"/>
        <v>23.826923076923077</v>
      </c>
    </row>
    <row r="36" spans="1:10" ht="17.45" customHeight="1" x14ac:dyDescent="0.2">
      <c r="A36" s="71">
        <v>19</v>
      </c>
      <c r="B36" s="71" t="s">
        <v>686</v>
      </c>
      <c r="C36" s="505">
        <v>4</v>
      </c>
      <c r="D36" s="505">
        <v>3</v>
      </c>
      <c r="E36" s="513">
        <f t="shared" si="8"/>
        <v>1.3333333333333333</v>
      </c>
      <c r="F36" s="508">
        <f t="shared" si="9"/>
        <v>5.128205128205128E-2</v>
      </c>
      <c r="G36" s="515">
        <v>649</v>
      </c>
      <c r="H36" s="515">
        <v>1</v>
      </c>
      <c r="I36" s="516">
        <f t="shared" si="4"/>
        <v>649</v>
      </c>
      <c r="J36" s="516">
        <f t="shared" si="5"/>
        <v>33.282051282051277</v>
      </c>
    </row>
    <row r="37" spans="1:10" ht="17.45" customHeight="1" x14ac:dyDescent="0.2">
      <c r="A37" s="71">
        <v>20</v>
      </c>
      <c r="B37" s="71" t="s">
        <v>688</v>
      </c>
      <c r="C37" s="505">
        <v>4</v>
      </c>
      <c r="D37" s="505">
        <v>3</v>
      </c>
      <c r="E37" s="513">
        <f t="shared" si="8"/>
        <v>1.3333333333333333</v>
      </c>
      <c r="F37" s="508">
        <f t="shared" si="9"/>
        <v>5.128205128205128E-2</v>
      </c>
      <c r="G37" s="515">
        <v>622</v>
      </c>
      <c r="H37" s="515">
        <v>1</v>
      </c>
      <c r="I37" s="516">
        <f t="shared" si="4"/>
        <v>622</v>
      </c>
      <c r="J37" s="516">
        <f t="shared" si="5"/>
        <v>31.897435897435898</v>
      </c>
    </row>
    <row r="38" spans="1:10" ht="17.45" customHeight="1" x14ac:dyDescent="0.2">
      <c r="A38" s="71">
        <v>21</v>
      </c>
      <c r="B38" s="71" t="s">
        <v>690</v>
      </c>
      <c r="C38" s="505">
        <v>2</v>
      </c>
      <c r="D38" s="505">
        <v>4</v>
      </c>
      <c r="E38" s="513">
        <f t="shared" si="8"/>
        <v>0.5</v>
      </c>
      <c r="F38" s="508">
        <f t="shared" si="9"/>
        <v>1.9230769230769232E-2</v>
      </c>
      <c r="G38" s="515">
        <v>16016</v>
      </c>
      <c r="H38" s="515">
        <v>1</v>
      </c>
      <c r="I38" s="516">
        <f t="shared" si="4"/>
        <v>16016</v>
      </c>
      <c r="J38" s="516">
        <f t="shared" si="5"/>
        <v>308</v>
      </c>
    </row>
    <row r="39" spans="1:10" ht="17.45" customHeight="1" x14ac:dyDescent="0.2">
      <c r="A39" s="71">
        <v>22</v>
      </c>
      <c r="B39" s="71" t="s">
        <v>692</v>
      </c>
      <c r="C39" s="505">
        <v>2</v>
      </c>
      <c r="D39" s="505">
        <v>4</v>
      </c>
      <c r="E39" s="513">
        <f t="shared" si="8"/>
        <v>0.5</v>
      </c>
      <c r="F39" s="508">
        <f t="shared" si="9"/>
        <v>1.9230769230769232E-2</v>
      </c>
      <c r="G39" s="515"/>
      <c r="H39" s="515">
        <v>1</v>
      </c>
      <c r="I39" s="516">
        <f t="shared" si="4"/>
        <v>0</v>
      </c>
      <c r="J39" s="516">
        <f t="shared" si="5"/>
        <v>0</v>
      </c>
    </row>
    <row r="40" spans="1:10" ht="17.45" customHeight="1" x14ac:dyDescent="0.2">
      <c r="A40" s="71">
        <v>23</v>
      </c>
      <c r="B40" s="71" t="s">
        <v>694</v>
      </c>
      <c r="C40" s="505">
        <v>2</v>
      </c>
      <c r="D40" s="505">
        <v>4</v>
      </c>
      <c r="E40" s="513">
        <f t="shared" si="8"/>
        <v>0.5</v>
      </c>
      <c r="F40" s="508">
        <f t="shared" si="9"/>
        <v>1.9230769230769232E-2</v>
      </c>
      <c r="G40" s="515"/>
      <c r="H40" s="515">
        <v>1</v>
      </c>
      <c r="I40" s="516">
        <f t="shared" si="4"/>
        <v>0</v>
      </c>
      <c r="J40" s="516">
        <f t="shared" si="5"/>
        <v>0</v>
      </c>
    </row>
    <row r="41" spans="1:10" ht="17.45" customHeight="1" x14ac:dyDescent="0.2">
      <c r="A41" s="71">
        <v>24</v>
      </c>
      <c r="B41" s="71" t="s">
        <v>696</v>
      </c>
      <c r="C41" s="505">
        <v>1</v>
      </c>
      <c r="D41" s="505">
        <v>3</v>
      </c>
      <c r="E41" s="513">
        <f t="shared" si="8"/>
        <v>0.33333333333333331</v>
      </c>
      <c r="F41" s="508">
        <f t="shared" si="9"/>
        <v>1.282051282051282E-2</v>
      </c>
      <c r="G41" s="515">
        <v>577</v>
      </c>
      <c r="H41" s="515">
        <v>1</v>
      </c>
      <c r="I41" s="516">
        <f t="shared" si="4"/>
        <v>577</v>
      </c>
      <c r="J41" s="516">
        <f t="shared" si="5"/>
        <v>7.3974358974358969</v>
      </c>
    </row>
    <row r="42" spans="1:10" ht="17.45" customHeight="1" x14ac:dyDescent="0.2">
      <c r="A42" s="71">
        <v>25</v>
      </c>
      <c r="B42" s="71" t="s">
        <v>698</v>
      </c>
      <c r="C42" s="505">
        <v>1</v>
      </c>
      <c r="D42" s="505">
        <v>3</v>
      </c>
      <c r="E42" s="513">
        <f t="shared" si="8"/>
        <v>0.33333333333333331</v>
      </c>
      <c r="F42" s="508">
        <f t="shared" si="9"/>
        <v>1.282051282051282E-2</v>
      </c>
      <c r="G42" s="515">
        <v>300</v>
      </c>
      <c r="H42" s="515">
        <v>1</v>
      </c>
      <c r="I42" s="516">
        <f t="shared" si="4"/>
        <v>300</v>
      </c>
      <c r="J42" s="516">
        <f t="shared" si="5"/>
        <v>3.8461538461538458</v>
      </c>
    </row>
    <row r="43" spans="1:10" ht="17.45" customHeight="1" x14ac:dyDescent="0.2">
      <c r="A43" s="71">
        <v>26</v>
      </c>
      <c r="B43" s="71" t="s">
        <v>700</v>
      </c>
      <c r="C43" s="505">
        <v>1</v>
      </c>
      <c r="D43" s="505">
        <v>5</v>
      </c>
      <c r="E43" s="513">
        <f t="shared" si="8"/>
        <v>0.2</v>
      </c>
      <c r="F43" s="508">
        <f t="shared" si="9"/>
        <v>7.6923076923076927E-3</v>
      </c>
      <c r="G43" s="515">
        <v>160</v>
      </c>
      <c r="H43" s="515">
        <v>1</v>
      </c>
      <c r="I43" s="516">
        <f t="shared" si="4"/>
        <v>160</v>
      </c>
      <c r="J43" s="516">
        <f t="shared" si="5"/>
        <v>1.2307692307692308</v>
      </c>
    </row>
    <row r="44" spans="1:10" ht="17.45" customHeight="1" x14ac:dyDescent="0.2">
      <c r="A44" s="71">
        <v>27</v>
      </c>
      <c r="B44" s="71" t="s">
        <v>702</v>
      </c>
      <c r="C44" s="505">
        <v>1</v>
      </c>
      <c r="D44" s="505">
        <v>5</v>
      </c>
      <c r="E44" s="513">
        <f t="shared" si="8"/>
        <v>0.2</v>
      </c>
      <c r="F44" s="508">
        <f t="shared" si="9"/>
        <v>7.6923076923076927E-3</v>
      </c>
      <c r="G44" s="515">
        <v>8453</v>
      </c>
      <c r="H44" s="515">
        <v>1</v>
      </c>
      <c r="I44" s="516">
        <f t="shared" si="4"/>
        <v>8453</v>
      </c>
      <c r="J44" s="516">
        <f t="shared" si="5"/>
        <v>65.023076923076928</v>
      </c>
    </row>
    <row r="45" spans="1:10" ht="17.45" customHeight="1" x14ac:dyDescent="0.2">
      <c r="A45" s="71">
        <v>28</v>
      </c>
      <c r="B45" s="71" t="s">
        <v>704</v>
      </c>
      <c r="C45" s="505">
        <v>1</v>
      </c>
      <c r="D45" s="505">
        <v>1</v>
      </c>
      <c r="E45" s="513">
        <f t="shared" si="8"/>
        <v>1</v>
      </c>
      <c r="F45" s="508">
        <f t="shared" si="9"/>
        <v>3.8461538461538464E-2</v>
      </c>
      <c r="G45" s="515">
        <v>692</v>
      </c>
      <c r="H45" s="515">
        <v>1</v>
      </c>
      <c r="I45" s="516">
        <f t="shared" si="4"/>
        <v>692</v>
      </c>
      <c r="J45" s="516">
        <f t="shared" si="5"/>
        <v>26.615384615384617</v>
      </c>
    </row>
    <row r="46" spans="1:10" ht="17.45" customHeight="1" x14ac:dyDescent="0.2">
      <c r="A46" s="71">
        <v>29</v>
      </c>
      <c r="B46" s="71" t="s">
        <v>706</v>
      </c>
      <c r="C46" s="505">
        <v>1</v>
      </c>
      <c r="D46" s="505">
        <v>5</v>
      </c>
      <c r="E46" s="513">
        <f t="shared" si="8"/>
        <v>0.2</v>
      </c>
      <c r="F46" s="508">
        <f t="shared" si="9"/>
        <v>7.6923076923076927E-3</v>
      </c>
      <c r="G46" s="515">
        <v>4812</v>
      </c>
      <c r="H46" s="515">
        <v>1</v>
      </c>
      <c r="I46" s="516">
        <f t="shared" si="4"/>
        <v>4812</v>
      </c>
      <c r="J46" s="516">
        <f t="shared" si="5"/>
        <v>37.015384615384619</v>
      </c>
    </row>
    <row r="47" spans="1:10" ht="17.45" customHeight="1" x14ac:dyDescent="0.2">
      <c r="A47" s="861" t="s">
        <v>722</v>
      </c>
      <c r="B47" s="862"/>
      <c r="C47" s="862"/>
      <c r="D47" s="862"/>
      <c r="E47" s="862"/>
      <c r="F47" s="863"/>
      <c r="G47" s="909"/>
      <c r="H47" s="909"/>
      <c r="I47" s="909"/>
      <c r="J47" s="909"/>
    </row>
    <row r="48" spans="1:10" ht="17.45" customHeight="1" x14ac:dyDescent="0.2">
      <c r="A48" s="71">
        <v>1</v>
      </c>
      <c r="B48" s="71" t="s">
        <v>724</v>
      </c>
      <c r="C48" s="505">
        <v>0.11</v>
      </c>
      <c r="D48" s="505">
        <v>5</v>
      </c>
      <c r="E48" s="513">
        <f t="shared" ref="E48" si="10">C48*(1/D48)</f>
        <v>2.2000000000000002E-2</v>
      </c>
      <c r="F48" s="508">
        <f t="shared" ref="F48" si="11">E48/26</f>
        <v>8.461538461538462E-4</v>
      </c>
      <c r="G48" s="515">
        <v>86816</v>
      </c>
      <c r="H48" s="515">
        <v>1</v>
      </c>
      <c r="I48" s="517">
        <f>G48*H48</f>
        <v>86816</v>
      </c>
      <c r="J48" s="517">
        <f>I48*F48</f>
        <v>73.459692307692308</v>
      </c>
    </row>
    <row r="49" spans="1:10" ht="17.45" customHeight="1" x14ac:dyDescent="0.2">
      <c r="A49" s="71">
        <v>2</v>
      </c>
      <c r="B49" s="71" t="s">
        <v>726</v>
      </c>
      <c r="C49" s="505">
        <v>2</v>
      </c>
      <c r="D49" s="505">
        <v>3</v>
      </c>
      <c r="E49" s="513">
        <f t="shared" ref="E49:E54" si="12">C49*(1/D49)</f>
        <v>0.66666666666666663</v>
      </c>
      <c r="F49" s="508">
        <f t="shared" ref="F49:F54" si="13">E49/26</f>
        <v>2.564102564102564E-2</v>
      </c>
      <c r="G49" s="515">
        <v>11100</v>
      </c>
      <c r="H49" s="515">
        <v>1</v>
      </c>
      <c r="I49" s="517">
        <f t="shared" ref="I49:I54" si="14">G49*H49</f>
        <v>11100</v>
      </c>
      <c r="J49" s="517">
        <f t="shared" ref="J49:J54" si="15">I49*F49</f>
        <v>284.61538461538458</v>
      </c>
    </row>
    <row r="50" spans="1:10" ht="17.45" customHeight="1" x14ac:dyDescent="0.2">
      <c r="A50" s="71">
        <v>3</v>
      </c>
      <c r="B50" s="71" t="s">
        <v>728</v>
      </c>
      <c r="C50" s="505">
        <v>2</v>
      </c>
      <c r="D50" s="505">
        <v>1</v>
      </c>
      <c r="E50" s="513">
        <f t="shared" si="12"/>
        <v>2</v>
      </c>
      <c r="F50" s="508">
        <f t="shared" si="13"/>
        <v>7.6923076923076927E-2</v>
      </c>
      <c r="G50" s="515">
        <v>4491</v>
      </c>
      <c r="H50" s="515">
        <v>1</v>
      </c>
      <c r="I50" s="517">
        <f t="shared" si="14"/>
        <v>4491</v>
      </c>
      <c r="J50" s="517">
        <f t="shared" si="15"/>
        <v>345.46153846153845</v>
      </c>
    </row>
    <row r="51" spans="1:10" ht="17.45" customHeight="1" x14ac:dyDescent="0.2">
      <c r="A51" s="71">
        <v>4</v>
      </c>
      <c r="B51" s="71" t="s">
        <v>730</v>
      </c>
      <c r="C51" s="505">
        <v>0.11</v>
      </c>
      <c r="D51" s="505">
        <v>1</v>
      </c>
      <c r="E51" s="513">
        <f t="shared" si="12"/>
        <v>0.11</v>
      </c>
      <c r="F51" s="508">
        <f t="shared" si="13"/>
        <v>4.2307692307692307E-3</v>
      </c>
      <c r="G51" s="515">
        <v>7168.8</v>
      </c>
      <c r="H51" s="515">
        <v>1</v>
      </c>
      <c r="I51" s="517">
        <f t="shared" si="14"/>
        <v>7168.8</v>
      </c>
      <c r="J51" s="517">
        <f t="shared" si="15"/>
        <v>30.329538461538462</v>
      </c>
    </row>
    <row r="52" spans="1:10" ht="17.45" customHeight="1" x14ac:dyDescent="0.2">
      <c r="A52" s="71">
        <v>5</v>
      </c>
      <c r="B52" s="71" t="s">
        <v>732</v>
      </c>
      <c r="C52" s="505">
        <v>2</v>
      </c>
      <c r="D52" s="505">
        <v>1</v>
      </c>
      <c r="E52" s="513">
        <f t="shared" si="12"/>
        <v>2</v>
      </c>
      <c r="F52" s="508">
        <f t="shared" si="13"/>
        <v>7.6923076923076927E-2</v>
      </c>
      <c r="G52" s="515">
        <v>7088</v>
      </c>
      <c r="H52" s="515">
        <v>1</v>
      </c>
      <c r="I52" s="517">
        <f t="shared" si="14"/>
        <v>7088</v>
      </c>
      <c r="J52" s="517">
        <f t="shared" si="15"/>
        <v>545.23076923076928</v>
      </c>
    </row>
    <row r="53" spans="1:10" ht="17.45" customHeight="1" x14ac:dyDescent="0.2">
      <c r="A53" s="71">
        <v>6</v>
      </c>
      <c r="B53" s="71" t="s">
        <v>556</v>
      </c>
      <c r="C53" s="505">
        <v>0.12</v>
      </c>
      <c r="D53" s="505">
        <v>2</v>
      </c>
      <c r="E53" s="513">
        <f t="shared" si="12"/>
        <v>0.06</v>
      </c>
      <c r="F53" s="508">
        <f t="shared" si="13"/>
        <v>2.3076923076923075E-3</v>
      </c>
      <c r="G53" s="515">
        <v>2500</v>
      </c>
      <c r="H53" s="515">
        <v>1</v>
      </c>
      <c r="I53" s="517">
        <f t="shared" si="14"/>
        <v>2500</v>
      </c>
      <c r="J53" s="517">
        <f t="shared" si="15"/>
        <v>5.7692307692307683</v>
      </c>
    </row>
    <row r="54" spans="1:10" ht="17.45" customHeight="1" x14ac:dyDescent="0.2">
      <c r="A54" s="71">
        <v>7</v>
      </c>
      <c r="B54" s="71" t="s">
        <v>735</v>
      </c>
      <c r="C54" s="505">
        <v>0.67</v>
      </c>
      <c r="D54" s="505">
        <v>2</v>
      </c>
      <c r="E54" s="513">
        <f t="shared" si="12"/>
        <v>0.33500000000000002</v>
      </c>
      <c r="F54" s="508">
        <f t="shared" si="13"/>
        <v>1.2884615384615385E-2</v>
      </c>
      <c r="G54" s="515">
        <v>604</v>
      </c>
      <c r="H54" s="515">
        <v>1</v>
      </c>
      <c r="I54" s="517">
        <f t="shared" si="14"/>
        <v>604</v>
      </c>
      <c r="J54" s="517">
        <f t="shared" si="15"/>
        <v>7.7823076923076924</v>
      </c>
    </row>
    <row r="55" spans="1:10" ht="17.45" customHeight="1" x14ac:dyDescent="0.2">
      <c r="A55" s="861" t="s">
        <v>918</v>
      </c>
      <c r="B55" s="862"/>
      <c r="C55" s="862"/>
      <c r="D55" s="862"/>
      <c r="E55" s="862"/>
      <c r="F55" s="863"/>
      <c r="G55" s="909"/>
      <c r="H55" s="909"/>
      <c r="I55" s="909"/>
      <c r="J55" s="909"/>
    </row>
    <row r="56" spans="1:10" ht="17.45" customHeight="1" x14ac:dyDescent="0.2">
      <c r="A56" s="71">
        <v>1</v>
      </c>
      <c r="B56" s="71" t="s">
        <v>920</v>
      </c>
      <c r="C56" s="505">
        <v>11</v>
      </c>
      <c r="D56" s="505">
        <v>5</v>
      </c>
      <c r="E56" s="513">
        <f t="shared" ref="E56" si="16">C56*(1/D56)</f>
        <v>2.2000000000000002</v>
      </c>
      <c r="F56" s="508">
        <f t="shared" ref="F56" si="17">E56/26</f>
        <v>8.461538461538462E-2</v>
      </c>
      <c r="G56" s="515">
        <v>670</v>
      </c>
      <c r="H56" s="515">
        <v>1</v>
      </c>
      <c r="I56" s="517">
        <f>G56*H56</f>
        <v>670</v>
      </c>
      <c r="J56" s="517">
        <f>I56*F56</f>
        <v>56.692307692307693</v>
      </c>
    </row>
    <row r="57" spans="1:10" ht="17.45" customHeight="1" x14ac:dyDescent="0.2">
      <c r="A57" s="71">
        <v>2</v>
      </c>
      <c r="B57" s="71" t="s">
        <v>922</v>
      </c>
      <c r="C57" s="505">
        <v>11</v>
      </c>
      <c r="D57" s="505">
        <v>5</v>
      </c>
      <c r="E57" s="513">
        <f t="shared" ref="E57:E58" si="18">C57*(1/D57)</f>
        <v>2.2000000000000002</v>
      </c>
      <c r="F57" s="508">
        <f t="shared" ref="F57:F58" si="19">E57/26</f>
        <v>8.461538461538462E-2</v>
      </c>
      <c r="G57" s="515">
        <v>537</v>
      </c>
      <c r="H57" s="515">
        <v>1</v>
      </c>
      <c r="I57" s="517">
        <f t="shared" ref="I57:I58" si="20">G57*H57</f>
        <v>537</v>
      </c>
      <c r="J57" s="517">
        <f t="shared" ref="J57:J58" si="21">I57*F57</f>
        <v>45.438461538461539</v>
      </c>
    </row>
    <row r="58" spans="1:10" ht="17.45" customHeight="1" x14ac:dyDescent="0.2">
      <c r="A58" s="71">
        <v>3</v>
      </c>
      <c r="B58" s="71" t="s">
        <v>924</v>
      </c>
      <c r="C58" s="505">
        <v>11</v>
      </c>
      <c r="D58" s="505">
        <v>5</v>
      </c>
      <c r="E58" s="513">
        <f t="shared" si="18"/>
        <v>2.2000000000000002</v>
      </c>
      <c r="F58" s="508">
        <f t="shared" si="19"/>
        <v>8.461538461538462E-2</v>
      </c>
      <c r="G58" s="515">
        <v>1599</v>
      </c>
      <c r="H58" s="515">
        <v>1</v>
      </c>
      <c r="I58" s="517">
        <f t="shared" si="20"/>
        <v>1599</v>
      </c>
      <c r="J58" s="517">
        <f t="shared" si="21"/>
        <v>135.30000000000001</v>
      </c>
    </row>
    <row r="59" spans="1:10" ht="17.45" customHeight="1" x14ac:dyDescent="0.2">
      <c r="A59" s="861" t="s">
        <v>299</v>
      </c>
      <c r="B59" s="862"/>
      <c r="C59" s="862"/>
      <c r="D59" s="862"/>
      <c r="E59" s="862"/>
      <c r="F59" s="863"/>
      <c r="G59" s="909"/>
      <c r="H59" s="909"/>
      <c r="I59" s="909"/>
      <c r="J59" s="909"/>
    </row>
    <row r="60" spans="1:10" ht="17.45" customHeight="1" x14ac:dyDescent="0.2">
      <c r="A60" s="71">
        <v>1</v>
      </c>
      <c r="B60" s="71" t="s">
        <v>301</v>
      </c>
      <c r="C60" s="505">
        <v>6</v>
      </c>
      <c r="D60" s="505">
        <v>5</v>
      </c>
      <c r="E60" s="513">
        <f t="shared" ref="E60" si="22">C60*(1/D60)</f>
        <v>1.2000000000000002</v>
      </c>
      <c r="F60" s="508">
        <f t="shared" ref="F60" si="23">E60/26</f>
        <v>4.6153846153846163E-2</v>
      </c>
      <c r="G60" s="515">
        <v>7000</v>
      </c>
      <c r="H60" s="515">
        <v>1</v>
      </c>
      <c r="I60" s="517">
        <f>G60*H60</f>
        <v>7000</v>
      </c>
      <c r="J60" s="517">
        <f>I60*F60</f>
        <v>323.07692307692315</v>
      </c>
    </row>
    <row r="61" spans="1:10" ht="17.45" customHeight="1" x14ac:dyDescent="0.2">
      <c r="A61" s="71">
        <v>2</v>
      </c>
      <c r="B61" s="71" t="s">
        <v>303</v>
      </c>
      <c r="C61" s="505">
        <v>12</v>
      </c>
      <c r="D61" s="505">
        <v>3</v>
      </c>
      <c r="E61" s="513">
        <f t="shared" ref="E61:E76" si="24">C61*(1/D61)</f>
        <v>4</v>
      </c>
      <c r="F61" s="508">
        <f t="shared" ref="F61:F76" si="25">E61/26</f>
        <v>0.15384615384615385</v>
      </c>
      <c r="G61" s="515">
        <v>4000</v>
      </c>
      <c r="H61" s="515">
        <v>1</v>
      </c>
      <c r="I61" s="517">
        <f t="shared" ref="I61:I76" si="26">G61*H61</f>
        <v>4000</v>
      </c>
      <c r="J61" s="517">
        <f t="shared" ref="J61:J76" si="27">I61*F61</f>
        <v>615.38461538461547</v>
      </c>
    </row>
    <row r="62" spans="1:10" ht="17.45" customHeight="1" x14ac:dyDescent="0.2">
      <c r="A62" s="71">
        <v>3</v>
      </c>
      <c r="B62" s="71" t="s">
        <v>305</v>
      </c>
      <c r="C62" s="505">
        <v>0.25</v>
      </c>
      <c r="D62" s="505">
        <v>3</v>
      </c>
      <c r="E62" s="513">
        <f t="shared" si="24"/>
        <v>8.3333333333333329E-2</v>
      </c>
      <c r="F62" s="508">
        <f t="shared" si="25"/>
        <v>3.205128205128205E-3</v>
      </c>
      <c r="G62" s="515">
        <v>7000</v>
      </c>
      <c r="H62" s="515">
        <v>1</v>
      </c>
      <c r="I62" s="517">
        <f t="shared" si="26"/>
        <v>7000</v>
      </c>
      <c r="J62" s="517">
        <f t="shared" si="27"/>
        <v>22.435897435897434</v>
      </c>
    </row>
    <row r="63" spans="1:10" ht="17.45" customHeight="1" x14ac:dyDescent="0.2">
      <c r="A63" s="71">
        <v>4</v>
      </c>
      <c r="B63" s="71" t="s">
        <v>307</v>
      </c>
      <c r="C63" s="505">
        <v>0.08</v>
      </c>
      <c r="D63" s="505">
        <v>5</v>
      </c>
      <c r="E63" s="513">
        <f t="shared" si="24"/>
        <v>1.6E-2</v>
      </c>
      <c r="F63" s="508">
        <f t="shared" si="25"/>
        <v>6.1538461538461541E-4</v>
      </c>
      <c r="G63" s="515">
        <v>13000</v>
      </c>
      <c r="H63" s="515">
        <v>1</v>
      </c>
      <c r="I63" s="517">
        <f t="shared" si="26"/>
        <v>13000</v>
      </c>
      <c r="J63" s="517">
        <f t="shared" si="27"/>
        <v>8</v>
      </c>
    </row>
    <row r="64" spans="1:10" ht="17.45" customHeight="1" x14ac:dyDescent="0.2">
      <c r="A64" s="71">
        <v>5</v>
      </c>
      <c r="B64" s="71" t="s">
        <v>309</v>
      </c>
      <c r="C64" s="505">
        <v>0.08</v>
      </c>
      <c r="D64" s="505">
        <v>5</v>
      </c>
      <c r="E64" s="513">
        <f t="shared" si="24"/>
        <v>1.6E-2</v>
      </c>
      <c r="F64" s="508">
        <f t="shared" si="25"/>
        <v>6.1538461538461541E-4</v>
      </c>
      <c r="G64" s="515">
        <v>30000</v>
      </c>
      <c r="H64" s="515">
        <v>1</v>
      </c>
      <c r="I64" s="517">
        <f t="shared" si="26"/>
        <v>30000</v>
      </c>
      <c r="J64" s="517">
        <f t="shared" si="27"/>
        <v>18.461538461538463</v>
      </c>
    </row>
    <row r="65" spans="1:10" ht="29.25" customHeight="1" x14ac:dyDescent="0.2">
      <c r="A65" s="71">
        <v>6</v>
      </c>
      <c r="B65" s="71" t="s">
        <v>311</v>
      </c>
      <c r="C65" s="505">
        <v>0.08</v>
      </c>
      <c r="D65" s="505">
        <v>5</v>
      </c>
      <c r="E65" s="513">
        <f t="shared" si="24"/>
        <v>1.6E-2</v>
      </c>
      <c r="F65" s="508">
        <f t="shared" si="25"/>
        <v>6.1538461538461541E-4</v>
      </c>
      <c r="G65" s="515">
        <v>8700</v>
      </c>
      <c r="H65" s="515">
        <v>1</v>
      </c>
      <c r="I65" s="517">
        <f t="shared" si="26"/>
        <v>8700</v>
      </c>
      <c r="J65" s="517">
        <f t="shared" si="27"/>
        <v>5.3538461538461544</v>
      </c>
    </row>
    <row r="66" spans="1:10" ht="17.45" customHeight="1" x14ac:dyDescent="0.2">
      <c r="A66" s="71">
        <v>7</v>
      </c>
      <c r="B66" s="71" t="s">
        <v>313</v>
      </c>
      <c r="C66" s="505">
        <v>0.08</v>
      </c>
      <c r="D66" s="505">
        <v>3</v>
      </c>
      <c r="E66" s="513">
        <f t="shared" si="24"/>
        <v>2.6666666666666665E-2</v>
      </c>
      <c r="F66" s="508">
        <f t="shared" si="25"/>
        <v>1.0256410256410256E-3</v>
      </c>
      <c r="G66" s="515">
        <v>8000</v>
      </c>
      <c r="H66" s="515">
        <v>1</v>
      </c>
      <c r="I66" s="517">
        <f t="shared" si="26"/>
        <v>8000</v>
      </c>
      <c r="J66" s="517">
        <f t="shared" si="27"/>
        <v>8.2051282051282044</v>
      </c>
    </row>
    <row r="67" spans="1:10" ht="17.45" customHeight="1" x14ac:dyDescent="0.2">
      <c r="A67" s="71">
        <v>8</v>
      </c>
      <c r="B67" s="71" t="s">
        <v>315</v>
      </c>
      <c r="C67" s="505">
        <v>0.17</v>
      </c>
      <c r="D67" s="505">
        <v>4</v>
      </c>
      <c r="E67" s="513">
        <f t="shared" si="24"/>
        <v>4.2500000000000003E-2</v>
      </c>
      <c r="F67" s="508">
        <f t="shared" si="25"/>
        <v>1.6346153846153847E-3</v>
      </c>
      <c r="G67" s="515">
        <v>6500</v>
      </c>
      <c r="H67" s="515">
        <v>1</v>
      </c>
      <c r="I67" s="517">
        <f t="shared" si="26"/>
        <v>6500</v>
      </c>
      <c r="J67" s="517">
        <f t="shared" si="27"/>
        <v>10.625</v>
      </c>
    </row>
    <row r="68" spans="1:10" ht="17.45" customHeight="1" x14ac:dyDescent="0.2">
      <c r="A68" s="71">
        <v>9</v>
      </c>
      <c r="B68" s="71" t="s">
        <v>317</v>
      </c>
      <c r="C68" s="505">
        <v>0.08</v>
      </c>
      <c r="D68" s="505">
        <v>3</v>
      </c>
      <c r="E68" s="513">
        <f t="shared" si="24"/>
        <v>2.6666666666666665E-2</v>
      </c>
      <c r="F68" s="508">
        <f t="shared" si="25"/>
        <v>1.0256410256410256E-3</v>
      </c>
      <c r="G68" s="515">
        <v>5000</v>
      </c>
      <c r="H68" s="515">
        <v>1</v>
      </c>
      <c r="I68" s="517">
        <f t="shared" si="26"/>
        <v>5000</v>
      </c>
      <c r="J68" s="517">
        <f t="shared" si="27"/>
        <v>5.1282051282051286</v>
      </c>
    </row>
    <row r="69" spans="1:10" ht="17.45" customHeight="1" x14ac:dyDescent="0.2">
      <c r="A69" s="71">
        <v>10</v>
      </c>
      <c r="B69" s="71" t="s">
        <v>319</v>
      </c>
      <c r="C69" s="505">
        <v>0.08</v>
      </c>
      <c r="D69" s="505">
        <v>4</v>
      </c>
      <c r="E69" s="513">
        <f t="shared" si="24"/>
        <v>0.02</v>
      </c>
      <c r="F69" s="508">
        <f t="shared" si="25"/>
        <v>7.6923076923076923E-4</v>
      </c>
      <c r="G69" s="515">
        <v>1890</v>
      </c>
      <c r="H69" s="515">
        <v>1</v>
      </c>
      <c r="I69" s="517">
        <f t="shared" si="26"/>
        <v>1890</v>
      </c>
      <c r="J69" s="517">
        <f t="shared" si="27"/>
        <v>1.4538461538461538</v>
      </c>
    </row>
    <row r="70" spans="1:10" ht="17.45" customHeight="1" x14ac:dyDescent="0.2">
      <c r="A70" s="71">
        <v>11</v>
      </c>
      <c r="B70" s="71" t="s">
        <v>321</v>
      </c>
      <c r="C70" s="505">
        <v>0.08</v>
      </c>
      <c r="D70" s="505">
        <v>4</v>
      </c>
      <c r="E70" s="513">
        <f t="shared" si="24"/>
        <v>0.02</v>
      </c>
      <c r="F70" s="508">
        <f t="shared" si="25"/>
        <v>7.6923076923076923E-4</v>
      </c>
      <c r="G70" s="515">
        <v>2690</v>
      </c>
      <c r="H70" s="515">
        <v>1</v>
      </c>
      <c r="I70" s="517">
        <f t="shared" si="26"/>
        <v>2690</v>
      </c>
      <c r="J70" s="517">
        <f t="shared" si="27"/>
        <v>2.0692307692307694</v>
      </c>
    </row>
    <row r="71" spans="1:10" ht="17.45" hidden="1" customHeight="1" x14ac:dyDescent="0.2">
      <c r="A71" s="71">
        <v>12</v>
      </c>
      <c r="B71" s="71" t="s">
        <v>323</v>
      </c>
      <c r="C71" s="505">
        <v>0.08</v>
      </c>
      <c r="D71" s="505">
        <v>5</v>
      </c>
      <c r="E71" s="513">
        <f t="shared" si="24"/>
        <v>1.6E-2</v>
      </c>
      <c r="F71" s="508">
        <f t="shared" si="25"/>
        <v>6.1538461538461541E-4</v>
      </c>
      <c r="G71" s="515"/>
      <c r="H71" s="515">
        <v>1</v>
      </c>
      <c r="I71" s="517">
        <f t="shared" si="26"/>
        <v>0</v>
      </c>
      <c r="J71" s="517">
        <f t="shared" si="27"/>
        <v>0</v>
      </c>
    </row>
    <row r="72" spans="1:10" ht="17.45" customHeight="1" x14ac:dyDescent="0.2">
      <c r="A72" s="71">
        <v>12</v>
      </c>
      <c r="B72" s="71" t="s">
        <v>325</v>
      </c>
      <c r="C72" s="505">
        <v>0.08</v>
      </c>
      <c r="D72" s="505">
        <v>5</v>
      </c>
      <c r="E72" s="513">
        <f t="shared" si="24"/>
        <v>1.6E-2</v>
      </c>
      <c r="F72" s="508">
        <f t="shared" si="25"/>
        <v>6.1538461538461541E-4</v>
      </c>
      <c r="G72" s="515">
        <v>5900</v>
      </c>
      <c r="H72" s="515">
        <v>1</v>
      </c>
      <c r="I72" s="517">
        <f t="shared" si="26"/>
        <v>5900</v>
      </c>
      <c r="J72" s="517">
        <f t="shared" si="27"/>
        <v>3.6307692307692307</v>
      </c>
    </row>
    <row r="73" spans="1:10" ht="31.9" customHeight="1" x14ac:dyDescent="0.2">
      <c r="A73" s="71">
        <v>13</v>
      </c>
      <c r="B73" s="71" t="s">
        <v>327</v>
      </c>
      <c r="C73" s="505">
        <v>0.08</v>
      </c>
      <c r="D73" s="505">
        <v>5</v>
      </c>
      <c r="E73" s="513">
        <f t="shared" si="24"/>
        <v>1.6E-2</v>
      </c>
      <c r="F73" s="508">
        <f t="shared" si="25"/>
        <v>6.1538461538461541E-4</v>
      </c>
      <c r="G73" s="515">
        <v>124000</v>
      </c>
      <c r="H73" s="515">
        <v>1</v>
      </c>
      <c r="I73" s="517">
        <f t="shared" si="26"/>
        <v>124000</v>
      </c>
      <c r="J73" s="517">
        <f t="shared" si="27"/>
        <v>76.307692307692307</v>
      </c>
    </row>
    <row r="74" spans="1:10" s="95" customFormat="1" ht="21.75" customHeight="1" x14ac:dyDescent="0.2">
      <c r="A74" s="137">
        <v>14</v>
      </c>
      <c r="B74" s="137" t="s">
        <v>4347</v>
      </c>
      <c r="C74" s="507">
        <v>0.08</v>
      </c>
      <c r="D74" s="507">
        <v>5</v>
      </c>
      <c r="E74" s="514">
        <f t="shared" si="24"/>
        <v>1.6E-2</v>
      </c>
      <c r="F74" s="509">
        <f t="shared" si="25"/>
        <v>6.1538461538461541E-4</v>
      </c>
      <c r="G74" s="518">
        <v>33500</v>
      </c>
      <c r="H74" s="518">
        <v>1</v>
      </c>
      <c r="I74" s="519">
        <f t="shared" si="26"/>
        <v>33500</v>
      </c>
      <c r="J74" s="519">
        <f t="shared" si="27"/>
        <v>20.615384615384617</v>
      </c>
    </row>
    <row r="75" spans="1:10" s="95" customFormat="1" ht="31.9" customHeight="1" x14ac:dyDescent="0.2">
      <c r="A75" s="137">
        <v>15</v>
      </c>
      <c r="B75" s="137" t="s">
        <v>4348</v>
      </c>
      <c r="C75" s="507">
        <v>0.08</v>
      </c>
      <c r="D75" s="507">
        <v>7</v>
      </c>
      <c r="E75" s="514">
        <f t="shared" si="24"/>
        <v>1.1428571428571429E-2</v>
      </c>
      <c r="F75" s="509">
        <f t="shared" si="25"/>
        <v>4.3956043956043956E-4</v>
      </c>
      <c r="G75" s="518">
        <v>16180</v>
      </c>
      <c r="H75" s="518">
        <v>1</v>
      </c>
      <c r="I75" s="519">
        <f t="shared" si="26"/>
        <v>16180</v>
      </c>
      <c r="J75" s="519">
        <f t="shared" si="27"/>
        <v>7.1120879120879117</v>
      </c>
    </row>
    <row r="76" spans="1:10" s="95" customFormat="1" ht="31.9" customHeight="1" x14ac:dyDescent="0.2">
      <c r="A76" s="137">
        <v>16</v>
      </c>
      <c r="B76" s="137" t="s">
        <v>4349</v>
      </c>
      <c r="C76" s="507">
        <v>0.08</v>
      </c>
      <c r="D76" s="507">
        <v>7</v>
      </c>
      <c r="E76" s="514">
        <f t="shared" si="24"/>
        <v>1.1428571428571429E-2</v>
      </c>
      <c r="F76" s="509">
        <f t="shared" si="25"/>
        <v>4.3956043956043956E-4</v>
      </c>
      <c r="G76" s="518">
        <v>119800</v>
      </c>
      <c r="H76" s="518">
        <v>1</v>
      </c>
      <c r="I76" s="519">
        <f t="shared" si="26"/>
        <v>119800</v>
      </c>
      <c r="J76" s="519">
        <f t="shared" si="27"/>
        <v>52.659340659340657</v>
      </c>
    </row>
    <row r="77" spans="1:10" ht="15" x14ac:dyDescent="0.25">
      <c r="A77" s="81"/>
      <c r="B77" s="126" t="s">
        <v>4059</v>
      </c>
      <c r="C77" s="506"/>
      <c r="D77" s="506"/>
      <c r="E77" s="510"/>
      <c r="F77" s="510"/>
      <c r="G77" s="520"/>
      <c r="H77" s="520"/>
      <c r="I77" s="520"/>
      <c r="J77" s="523">
        <f>SUM(J11:J76)</f>
        <v>5860.5859670329664</v>
      </c>
    </row>
    <row r="78" spans="1:10" ht="15" hidden="1" x14ac:dyDescent="0.2">
      <c r="B78" s="791" t="s">
        <v>3847</v>
      </c>
      <c r="C78" s="791"/>
      <c r="D78" s="791"/>
    </row>
  </sheetData>
  <mergeCells count="12">
    <mergeCell ref="B78:D78"/>
    <mergeCell ref="A17:F17"/>
    <mergeCell ref="A47:F47"/>
    <mergeCell ref="A55:F55"/>
    <mergeCell ref="A59:F59"/>
    <mergeCell ref="G55:J55"/>
    <mergeCell ref="G59:J59"/>
    <mergeCell ref="A10:F10"/>
    <mergeCell ref="B7:J7"/>
    <mergeCell ref="G10:J10"/>
    <mergeCell ref="G17:J17"/>
    <mergeCell ref="G47:J47"/>
  </mergeCells>
  <pageMargins left="0.6692913385826772" right="0.23622047244094491" top="0.74803149606299213" bottom="0.74803149606299213" header="0.31496062992125984" footer="0.31496062992125984"/>
  <pageSetup paperSize="9" scale="70"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80"/>
  <sheetViews>
    <sheetView topLeftCell="A770" workbookViewId="0">
      <selection activeCell="B680" sqref="B680"/>
    </sheetView>
  </sheetViews>
  <sheetFormatPr defaultRowHeight="12.75" x14ac:dyDescent="0.2"/>
  <cols>
    <col min="1" max="1" width="17.85546875" customWidth="1"/>
    <col min="2" max="2" width="81.7109375" customWidth="1"/>
  </cols>
  <sheetData>
    <row r="1" spans="1:4" ht="24.6" customHeight="1" thickBot="1" x14ac:dyDescent="0.25">
      <c r="A1" s="914" t="s">
        <v>138</v>
      </c>
      <c r="B1" s="915"/>
      <c r="C1" s="61"/>
      <c r="D1" s="61"/>
    </row>
    <row r="2" spans="1:4" ht="24.6" customHeight="1" thickBot="1" x14ac:dyDescent="0.25">
      <c r="A2" s="914" t="s">
        <v>139</v>
      </c>
      <c r="B2" s="915"/>
      <c r="C2" s="61"/>
      <c r="D2" s="61"/>
    </row>
    <row r="3" spans="1:4" ht="24.6" customHeight="1" thickBot="1" x14ac:dyDescent="0.25">
      <c r="A3" s="911" t="s">
        <v>140</v>
      </c>
      <c r="B3" s="912"/>
      <c r="C3" s="61"/>
      <c r="D3" s="61"/>
    </row>
    <row r="4" spans="1:4" ht="24.6" customHeight="1" thickBot="1" x14ac:dyDescent="0.25">
      <c r="A4" s="62" t="s">
        <v>141</v>
      </c>
      <c r="B4" s="63" t="s">
        <v>142</v>
      </c>
      <c r="C4" s="61"/>
      <c r="D4" s="61"/>
    </row>
    <row r="5" spans="1:4" ht="24.6" customHeight="1" thickBot="1" x14ac:dyDescent="0.25">
      <c r="A5" s="62" t="s">
        <v>143</v>
      </c>
      <c r="B5" s="63" t="s">
        <v>144</v>
      </c>
      <c r="C5" s="61"/>
      <c r="D5" s="61"/>
    </row>
    <row r="6" spans="1:4" ht="24.6" customHeight="1" thickBot="1" x14ac:dyDescent="0.25">
      <c r="A6" s="62" t="s">
        <v>145</v>
      </c>
      <c r="B6" s="63" t="s">
        <v>146</v>
      </c>
      <c r="C6" s="61"/>
      <c r="D6" s="61"/>
    </row>
    <row r="7" spans="1:4" ht="24.6" customHeight="1" thickBot="1" x14ac:dyDescent="0.25">
      <c r="A7" s="62" t="s">
        <v>147</v>
      </c>
      <c r="B7" s="63" t="s">
        <v>148</v>
      </c>
      <c r="C7" s="61"/>
      <c r="D7" s="61"/>
    </row>
    <row r="8" spans="1:4" ht="24.6" customHeight="1" thickBot="1" x14ac:dyDescent="0.25">
      <c r="A8" s="911" t="s">
        <v>149</v>
      </c>
      <c r="B8" s="912"/>
      <c r="C8" s="61"/>
      <c r="D8" s="61"/>
    </row>
    <row r="9" spans="1:4" ht="24.6" customHeight="1" thickBot="1" x14ac:dyDescent="0.25">
      <c r="A9" s="64">
        <v>38353</v>
      </c>
      <c r="B9" s="63" t="s">
        <v>150</v>
      </c>
      <c r="C9" s="61"/>
      <c r="D9" s="61"/>
    </row>
    <row r="10" spans="1:4" ht="24.6" customHeight="1" thickBot="1" x14ac:dyDescent="0.25">
      <c r="A10" s="62" t="s">
        <v>151</v>
      </c>
      <c r="B10" s="63" t="s">
        <v>152</v>
      </c>
      <c r="C10" s="61"/>
      <c r="D10" s="61"/>
    </row>
    <row r="11" spans="1:4" ht="24.6" customHeight="1" thickBot="1" x14ac:dyDescent="0.25">
      <c r="A11" s="62" t="s">
        <v>153</v>
      </c>
      <c r="B11" s="63" t="s">
        <v>154</v>
      </c>
      <c r="C11" s="61"/>
      <c r="D11" s="61"/>
    </row>
    <row r="12" spans="1:4" ht="24.6" customHeight="1" thickBot="1" x14ac:dyDescent="0.25">
      <c r="A12" s="62" t="s">
        <v>155</v>
      </c>
      <c r="B12" s="63" t="s">
        <v>156</v>
      </c>
      <c r="C12" s="61"/>
      <c r="D12" s="61"/>
    </row>
    <row r="13" spans="1:4" ht="24.6" customHeight="1" thickBot="1" x14ac:dyDescent="0.25">
      <c r="A13" s="914" t="s">
        <v>157</v>
      </c>
      <c r="B13" s="915"/>
      <c r="C13" s="61"/>
      <c r="D13" s="61"/>
    </row>
    <row r="14" spans="1:4" ht="24.6" customHeight="1" thickBot="1" x14ac:dyDescent="0.25">
      <c r="A14" s="62" t="s">
        <v>158</v>
      </c>
      <c r="B14" s="63" t="s">
        <v>159</v>
      </c>
      <c r="C14" s="61"/>
      <c r="D14" s="61"/>
    </row>
    <row r="15" spans="1:4" ht="24.6" customHeight="1" thickBot="1" x14ac:dyDescent="0.25">
      <c r="A15" s="62" t="s">
        <v>160</v>
      </c>
      <c r="B15" s="63" t="s">
        <v>161</v>
      </c>
      <c r="C15" s="61"/>
      <c r="D15" s="61"/>
    </row>
    <row r="16" spans="1:4" ht="24.6" customHeight="1" thickBot="1" x14ac:dyDescent="0.25">
      <c r="A16" s="62" t="s">
        <v>162</v>
      </c>
      <c r="B16" s="63" t="s">
        <v>163</v>
      </c>
      <c r="C16" s="61"/>
      <c r="D16" s="61"/>
    </row>
    <row r="17" spans="1:4" ht="24.6" customHeight="1" thickBot="1" x14ac:dyDescent="0.25">
      <c r="A17" s="914" t="s">
        <v>164</v>
      </c>
      <c r="B17" s="915"/>
      <c r="C17" s="61"/>
      <c r="D17" s="61"/>
    </row>
    <row r="18" spans="1:4" ht="24.6" customHeight="1" thickBot="1" x14ac:dyDescent="0.25">
      <c r="A18" s="911" t="s">
        <v>140</v>
      </c>
      <c r="B18" s="912"/>
      <c r="C18" s="61"/>
      <c r="D18" s="61"/>
    </row>
    <row r="19" spans="1:4" ht="24.6" customHeight="1" thickBot="1" x14ac:dyDescent="0.25">
      <c r="A19" s="62" t="s">
        <v>165</v>
      </c>
      <c r="B19" s="63" t="s">
        <v>166</v>
      </c>
      <c r="C19" s="61"/>
      <c r="D19" s="61"/>
    </row>
    <row r="20" spans="1:4" ht="24.6" customHeight="1" thickBot="1" x14ac:dyDescent="0.25">
      <c r="A20" s="62" t="s">
        <v>167</v>
      </c>
      <c r="B20" s="63" t="s">
        <v>168</v>
      </c>
      <c r="C20" s="61"/>
      <c r="D20" s="61"/>
    </row>
    <row r="21" spans="1:4" ht="24.6" customHeight="1" thickBot="1" x14ac:dyDescent="0.25">
      <c r="A21" s="62" t="s">
        <v>169</v>
      </c>
      <c r="B21" s="63" t="s">
        <v>170</v>
      </c>
      <c r="C21" s="61"/>
      <c r="D21" s="61"/>
    </row>
    <row r="22" spans="1:4" ht="24.6" customHeight="1" thickBot="1" x14ac:dyDescent="0.25">
      <c r="A22" s="62" t="s">
        <v>171</v>
      </c>
      <c r="B22" s="63" t="s">
        <v>172</v>
      </c>
      <c r="C22" s="61"/>
      <c r="D22" s="61"/>
    </row>
    <row r="23" spans="1:4" ht="24.6" customHeight="1" thickBot="1" x14ac:dyDescent="0.25">
      <c r="A23" s="62" t="s">
        <v>173</v>
      </c>
      <c r="B23" s="63" t="s">
        <v>174</v>
      </c>
      <c r="C23" s="61"/>
      <c r="D23" s="61"/>
    </row>
    <row r="24" spans="1:4" ht="24.6" customHeight="1" thickBot="1" x14ac:dyDescent="0.25">
      <c r="A24" s="62" t="s">
        <v>175</v>
      </c>
      <c r="B24" s="63" t="s">
        <v>176</v>
      </c>
      <c r="C24" s="61"/>
      <c r="D24" s="61"/>
    </row>
    <row r="25" spans="1:4" ht="24.6" customHeight="1" thickBot="1" x14ac:dyDescent="0.25">
      <c r="A25" s="62" t="s">
        <v>177</v>
      </c>
      <c r="B25" s="63" t="s">
        <v>178</v>
      </c>
      <c r="C25" s="61"/>
      <c r="D25" s="61"/>
    </row>
    <row r="26" spans="1:4" ht="24.6" customHeight="1" thickBot="1" x14ac:dyDescent="0.25">
      <c r="A26" s="62" t="s">
        <v>179</v>
      </c>
      <c r="B26" s="63" t="s">
        <v>180</v>
      </c>
      <c r="C26" s="61"/>
      <c r="D26" s="61"/>
    </row>
    <row r="27" spans="1:4" ht="24.6" customHeight="1" thickBot="1" x14ac:dyDescent="0.25">
      <c r="A27" s="62" t="s">
        <v>181</v>
      </c>
      <c r="B27" s="63" t="s">
        <v>182</v>
      </c>
      <c r="C27" s="61"/>
      <c r="D27" s="61"/>
    </row>
    <row r="28" spans="1:4" ht="24.6" customHeight="1" thickBot="1" x14ac:dyDescent="0.25">
      <c r="A28" s="911" t="s">
        <v>183</v>
      </c>
      <c r="B28" s="912"/>
      <c r="C28" s="61"/>
      <c r="D28" s="61"/>
    </row>
    <row r="29" spans="1:4" ht="24.6" customHeight="1" thickBot="1" x14ac:dyDescent="0.25">
      <c r="A29" s="62" t="s">
        <v>184</v>
      </c>
      <c r="B29" s="63" t="s">
        <v>185</v>
      </c>
      <c r="C29" s="61"/>
      <c r="D29" s="61"/>
    </row>
    <row r="30" spans="1:4" ht="24.6" customHeight="1" thickBot="1" x14ac:dyDescent="0.25">
      <c r="A30" s="62" t="s">
        <v>186</v>
      </c>
      <c r="B30" s="63" t="s">
        <v>187</v>
      </c>
      <c r="C30" s="61"/>
      <c r="D30" s="61"/>
    </row>
    <row r="31" spans="1:4" ht="24.6" customHeight="1" thickBot="1" x14ac:dyDescent="0.25">
      <c r="A31" s="62" t="s">
        <v>188</v>
      </c>
      <c r="B31" s="63" t="s">
        <v>189</v>
      </c>
      <c r="C31" s="61"/>
      <c r="D31" s="61"/>
    </row>
    <row r="32" spans="1:4" ht="24.6" customHeight="1" thickBot="1" x14ac:dyDescent="0.25">
      <c r="A32" s="62" t="s">
        <v>190</v>
      </c>
      <c r="B32" s="63" t="s">
        <v>191</v>
      </c>
      <c r="C32" s="61"/>
      <c r="D32" s="61"/>
    </row>
    <row r="33" spans="1:4" ht="24.6" customHeight="1" thickBot="1" x14ac:dyDescent="0.25">
      <c r="A33" s="62" t="s">
        <v>192</v>
      </c>
      <c r="B33" s="63" t="s">
        <v>193</v>
      </c>
      <c r="C33" s="61"/>
      <c r="D33" s="61"/>
    </row>
    <row r="34" spans="1:4" ht="24.6" customHeight="1" thickBot="1" x14ac:dyDescent="0.25">
      <c r="A34" s="62" t="s">
        <v>194</v>
      </c>
      <c r="B34" s="63" t="s">
        <v>195</v>
      </c>
      <c r="C34" s="61"/>
      <c r="D34" s="61"/>
    </row>
    <row r="35" spans="1:4" ht="24.6" customHeight="1" thickBot="1" x14ac:dyDescent="0.25">
      <c r="A35" s="62" t="s">
        <v>196</v>
      </c>
      <c r="B35" s="63" t="s">
        <v>156</v>
      </c>
      <c r="C35" s="61"/>
      <c r="D35" s="61"/>
    </row>
    <row r="36" spans="1:4" ht="24.6" customHeight="1" thickBot="1" x14ac:dyDescent="0.25">
      <c r="A36" s="911" t="s">
        <v>197</v>
      </c>
      <c r="B36" s="912"/>
      <c r="C36" s="61"/>
      <c r="D36" s="61"/>
    </row>
    <row r="37" spans="1:4" ht="24.6" customHeight="1" thickBot="1" x14ac:dyDescent="0.25">
      <c r="A37" s="62" t="s">
        <v>198</v>
      </c>
      <c r="B37" s="63" t="s">
        <v>199</v>
      </c>
      <c r="C37" s="61"/>
      <c r="D37" s="61"/>
    </row>
    <row r="38" spans="1:4" ht="24.6" customHeight="1" thickBot="1" x14ac:dyDescent="0.25">
      <c r="A38" s="62" t="s">
        <v>200</v>
      </c>
      <c r="B38" s="63" t="s">
        <v>201</v>
      </c>
      <c r="C38" s="61"/>
      <c r="D38" s="61"/>
    </row>
    <row r="39" spans="1:4" ht="24.6" customHeight="1" thickBot="1" x14ac:dyDescent="0.25">
      <c r="A39" s="914" t="s">
        <v>202</v>
      </c>
      <c r="B39" s="915"/>
      <c r="C39" s="61"/>
      <c r="D39" s="61"/>
    </row>
    <row r="40" spans="1:4" ht="24.6" customHeight="1" thickBot="1" x14ac:dyDescent="0.25">
      <c r="A40" s="911" t="s">
        <v>203</v>
      </c>
      <c r="B40" s="912"/>
      <c r="C40" s="61"/>
      <c r="D40" s="61"/>
    </row>
    <row r="41" spans="1:4" ht="24.6" customHeight="1" thickBot="1" x14ac:dyDescent="0.25">
      <c r="A41" s="62" t="s">
        <v>204</v>
      </c>
      <c r="B41" s="63" t="s">
        <v>205</v>
      </c>
      <c r="C41" s="61"/>
      <c r="D41" s="61"/>
    </row>
    <row r="42" spans="1:4" ht="24.6" customHeight="1" thickBot="1" x14ac:dyDescent="0.25">
      <c r="A42" s="62" t="s">
        <v>206</v>
      </c>
      <c r="B42" s="63" t="s">
        <v>207</v>
      </c>
      <c r="C42" s="61"/>
      <c r="D42" s="61"/>
    </row>
    <row r="43" spans="1:4" ht="24.6" customHeight="1" thickBot="1" x14ac:dyDescent="0.25">
      <c r="A43" s="62" t="s">
        <v>208</v>
      </c>
      <c r="B43" s="63" t="s">
        <v>209</v>
      </c>
      <c r="C43" s="61"/>
      <c r="D43" s="61"/>
    </row>
    <row r="44" spans="1:4" ht="24.6" customHeight="1" thickBot="1" x14ac:dyDescent="0.25">
      <c r="A44" s="62" t="s">
        <v>210</v>
      </c>
      <c r="B44" s="63" t="s">
        <v>211</v>
      </c>
      <c r="C44" s="61"/>
      <c r="D44" s="61"/>
    </row>
    <row r="45" spans="1:4" ht="24.6" customHeight="1" thickBot="1" x14ac:dyDescent="0.25">
      <c r="A45" s="62" t="s">
        <v>212</v>
      </c>
      <c r="B45" s="63" t="s">
        <v>213</v>
      </c>
      <c r="C45" s="61"/>
      <c r="D45" s="61"/>
    </row>
    <row r="46" spans="1:4" ht="24.6" customHeight="1" thickBot="1" x14ac:dyDescent="0.25">
      <c r="A46" s="62" t="s">
        <v>214</v>
      </c>
      <c r="B46" s="63" t="s">
        <v>215</v>
      </c>
      <c r="C46" s="61"/>
      <c r="D46" s="61"/>
    </row>
    <row r="47" spans="1:4" ht="24.6" customHeight="1" thickBot="1" x14ac:dyDescent="0.25">
      <c r="A47" s="62" t="s">
        <v>216</v>
      </c>
      <c r="B47" s="63" t="s">
        <v>217</v>
      </c>
      <c r="C47" s="61"/>
      <c r="D47" s="61"/>
    </row>
    <row r="48" spans="1:4" ht="24.6" customHeight="1" thickBot="1" x14ac:dyDescent="0.25">
      <c r="A48" s="62" t="s">
        <v>218</v>
      </c>
      <c r="B48" s="63" t="s">
        <v>219</v>
      </c>
      <c r="C48" s="61"/>
      <c r="D48" s="61"/>
    </row>
    <row r="49" spans="1:4" ht="24.6" customHeight="1" thickBot="1" x14ac:dyDescent="0.25">
      <c r="A49" s="911" t="s">
        <v>220</v>
      </c>
      <c r="B49" s="912"/>
      <c r="C49" s="61"/>
      <c r="D49" s="61"/>
    </row>
    <row r="50" spans="1:4" ht="24.6" customHeight="1" thickBot="1" x14ac:dyDescent="0.25">
      <c r="A50" s="62" t="s">
        <v>221</v>
      </c>
      <c r="B50" s="63" t="s">
        <v>222</v>
      </c>
      <c r="C50" s="61"/>
      <c r="D50" s="61"/>
    </row>
    <row r="51" spans="1:4" ht="24.6" customHeight="1" thickBot="1" x14ac:dyDescent="0.25">
      <c r="A51" s="62" t="s">
        <v>223</v>
      </c>
      <c r="B51" s="63" t="s">
        <v>224</v>
      </c>
      <c r="C51" s="61"/>
      <c r="D51" s="61"/>
    </row>
    <row r="52" spans="1:4" ht="24.6" customHeight="1" thickBot="1" x14ac:dyDescent="0.25">
      <c r="A52" s="62" t="s">
        <v>225</v>
      </c>
      <c r="B52" s="63" t="s">
        <v>226</v>
      </c>
      <c r="C52" s="61"/>
      <c r="D52" s="61"/>
    </row>
    <row r="53" spans="1:4" ht="24.6" customHeight="1" thickBot="1" x14ac:dyDescent="0.25">
      <c r="A53" s="62" t="s">
        <v>227</v>
      </c>
      <c r="B53" s="63" t="s">
        <v>228</v>
      </c>
      <c r="C53" s="61"/>
      <c r="D53" s="61"/>
    </row>
    <row r="54" spans="1:4" ht="24.6" customHeight="1" thickBot="1" x14ac:dyDescent="0.25">
      <c r="A54" s="62" t="s">
        <v>229</v>
      </c>
      <c r="B54" s="63" t="s">
        <v>230</v>
      </c>
      <c r="C54" s="61"/>
      <c r="D54" s="61"/>
    </row>
    <row r="55" spans="1:4" ht="24.6" customHeight="1" thickBot="1" x14ac:dyDescent="0.25">
      <c r="A55" s="62" t="s">
        <v>231</v>
      </c>
      <c r="B55" s="63" t="s">
        <v>232</v>
      </c>
      <c r="C55" s="61"/>
      <c r="D55" s="61"/>
    </row>
    <row r="56" spans="1:4" ht="24.6" customHeight="1" thickBot="1" x14ac:dyDescent="0.25">
      <c r="A56" s="62" t="s">
        <v>233</v>
      </c>
      <c r="B56" s="63" t="s">
        <v>234</v>
      </c>
      <c r="C56" s="61"/>
      <c r="D56" s="61"/>
    </row>
    <row r="57" spans="1:4" ht="24.6" customHeight="1" thickBot="1" x14ac:dyDescent="0.25">
      <c r="A57" s="62" t="s">
        <v>235</v>
      </c>
      <c r="B57" s="63" t="s">
        <v>236</v>
      </c>
      <c r="C57" s="61"/>
      <c r="D57" s="61"/>
    </row>
    <row r="58" spans="1:4" ht="24.6" customHeight="1" thickBot="1" x14ac:dyDescent="0.25">
      <c r="A58" s="62" t="s">
        <v>237</v>
      </c>
      <c r="B58" s="63" t="s">
        <v>238</v>
      </c>
      <c r="C58" s="61"/>
      <c r="D58" s="61"/>
    </row>
    <row r="59" spans="1:4" ht="24.6" customHeight="1" thickBot="1" x14ac:dyDescent="0.25">
      <c r="A59" s="62" t="s">
        <v>239</v>
      </c>
      <c r="B59" s="63" t="s">
        <v>240</v>
      </c>
      <c r="C59" s="61"/>
      <c r="D59" s="61"/>
    </row>
    <row r="60" spans="1:4" ht="24.6" customHeight="1" thickBot="1" x14ac:dyDescent="0.25">
      <c r="A60" s="62" t="s">
        <v>241</v>
      </c>
      <c r="B60" s="63" t="s">
        <v>156</v>
      </c>
      <c r="C60" s="61"/>
      <c r="D60" s="61"/>
    </row>
    <row r="61" spans="1:4" ht="24.6" customHeight="1" thickBot="1" x14ac:dyDescent="0.25">
      <c r="A61" s="62" t="s">
        <v>242</v>
      </c>
      <c r="B61" s="63" t="s">
        <v>243</v>
      </c>
      <c r="C61" s="61"/>
      <c r="D61" s="61"/>
    </row>
    <row r="62" spans="1:4" ht="24.6" customHeight="1" thickBot="1" x14ac:dyDescent="0.25">
      <c r="A62" s="62" t="s">
        <v>244</v>
      </c>
      <c r="B62" s="63" t="s">
        <v>245</v>
      </c>
      <c r="C62" s="61"/>
      <c r="D62" s="61"/>
    </row>
    <row r="63" spans="1:4" ht="24.6" customHeight="1" thickBot="1" x14ac:dyDescent="0.25">
      <c r="A63" s="918" t="s">
        <v>246</v>
      </c>
      <c r="B63" s="919"/>
      <c r="C63" s="61"/>
      <c r="D63" s="61"/>
    </row>
    <row r="64" spans="1:4" ht="24.6" customHeight="1" thickBot="1" x14ac:dyDescent="0.25">
      <c r="A64" s="911" t="s">
        <v>247</v>
      </c>
      <c r="B64" s="912"/>
      <c r="C64" s="61"/>
      <c r="D64" s="61"/>
    </row>
    <row r="65" spans="1:4" ht="24.6" customHeight="1" thickBot="1" x14ac:dyDescent="0.25">
      <c r="A65" s="62" t="s">
        <v>248</v>
      </c>
      <c r="B65" s="63" t="s">
        <v>249</v>
      </c>
      <c r="C65" s="61"/>
      <c r="D65" s="61"/>
    </row>
    <row r="66" spans="1:4" ht="24.6" customHeight="1" thickBot="1" x14ac:dyDescent="0.25">
      <c r="A66" s="62" t="s">
        <v>250</v>
      </c>
      <c r="B66" s="63" t="s">
        <v>251</v>
      </c>
      <c r="C66" s="61"/>
      <c r="D66" s="61"/>
    </row>
    <row r="67" spans="1:4" ht="24.6" customHeight="1" thickBot="1" x14ac:dyDescent="0.25">
      <c r="A67" s="62" t="s">
        <v>252</v>
      </c>
      <c r="B67" s="63" t="s">
        <v>253</v>
      </c>
      <c r="C67" s="61"/>
      <c r="D67" s="61"/>
    </row>
    <row r="68" spans="1:4" ht="24.6" customHeight="1" thickBot="1" x14ac:dyDescent="0.25">
      <c r="A68" s="62" t="s">
        <v>254</v>
      </c>
      <c r="B68" s="63" t="s">
        <v>255</v>
      </c>
      <c r="C68" s="61"/>
      <c r="D68" s="61"/>
    </row>
    <row r="69" spans="1:4" ht="24.6" customHeight="1" thickBot="1" x14ac:dyDescent="0.25">
      <c r="A69" s="62" t="s">
        <v>256</v>
      </c>
      <c r="B69" s="63" t="s">
        <v>257</v>
      </c>
      <c r="C69" s="61"/>
      <c r="D69" s="61"/>
    </row>
    <row r="70" spans="1:4" ht="24.6" customHeight="1" thickBot="1" x14ac:dyDescent="0.25">
      <c r="A70" s="62" t="s">
        <v>258</v>
      </c>
      <c r="B70" s="63" t="s">
        <v>259</v>
      </c>
      <c r="C70" s="61"/>
      <c r="D70" s="61"/>
    </row>
    <row r="71" spans="1:4" ht="24.6" customHeight="1" thickBot="1" x14ac:dyDescent="0.25">
      <c r="A71" s="914" t="s">
        <v>260</v>
      </c>
      <c r="B71" s="915"/>
      <c r="C71" s="61"/>
      <c r="D71" s="61"/>
    </row>
    <row r="72" spans="1:4" ht="24.6" customHeight="1" thickBot="1" x14ac:dyDescent="0.25">
      <c r="A72" s="914" t="s">
        <v>261</v>
      </c>
      <c r="B72" s="915"/>
      <c r="C72" s="61"/>
      <c r="D72" s="61"/>
    </row>
    <row r="73" spans="1:4" ht="34.9" customHeight="1" thickBot="1" x14ac:dyDescent="0.25">
      <c r="A73" s="62" t="s">
        <v>262</v>
      </c>
      <c r="B73" s="63" t="s">
        <v>263</v>
      </c>
      <c r="C73" s="61"/>
      <c r="D73" s="61"/>
    </row>
    <row r="74" spans="1:4" ht="24.6" customHeight="1" thickBot="1" x14ac:dyDescent="0.25">
      <c r="A74" s="62" t="s">
        <v>264</v>
      </c>
      <c r="B74" s="63" t="s">
        <v>265</v>
      </c>
      <c r="C74" s="61"/>
      <c r="D74" s="61"/>
    </row>
    <row r="75" spans="1:4" ht="24.6" customHeight="1" thickBot="1" x14ac:dyDescent="0.25">
      <c r="A75" s="62" t="s">
        <v>266</v>
      </c>
      <c r="B75" s="63" t="s">
        <v>267</v>
      </c>
      <c r="C75" s="61"/>
      <c r="D75" s="61"/>
    </row>
    <row r="76" spans="1:4" ht="24.6" customHeight="1" thickBot="1" x14ac:dyDescent="0.25">
      <c r="A76" s="911" t="s">
        <v>268</v>
      </c>
      <c r="B76" s="912"/>
      <c r="C76" s="61"/>
      <c r="D76" s="61"/>
    </row>
    <row r="77" spans="1:4" ht="24.6" customHeight="1" thickBot="1" x14ac:dyDescent="0.25">
      <c r="A77" s="62" t="s">
        <v>269</v>
      </c>
      <c r="B77" s="63" t="s">
        <v>270</v>
      </c>
      <c r="C77" s="61"/>
      <c r="D77" s="61"/>
    </row>
    <row r="78" spans="1:4" ht="24.6" customHeight="1" thickBot="1" x14ac:dyDescent="0.25">
      <c r="A78" s="62" t="s">
        <v>271</v>
      </c>
      <c r="B78" s="63" t="s">
        <v>272</v>
      </c>
      <c r="C78" s="61"/>
      <c r="D78" s="61"/>
    </row>
    <row r="79" spans="1:4" ht="24.6" customHeight="1" thickBot="1" x14ac:dyDescent="0.25">
      <c r="A79" s="62" t="s">
        <v>273</v>
      </c>
      <c r="B79" s="63" t="s">
        <v>274</v>
      </c>
      <c r="C79" s="61"/>
      <c r="D79" s="61"/>
    </row>
    <row r="80" spans="1:4" ht="24.6" customHeight="1" thickBot="1" x14ac:dyDescent="0.25">
      <c r="A80" s="62" t="s">
        <v>275</v>
      </c>
      <c r="B80" s="63" t="s">
        <v>276</v>
      </c>
      <c r="C80" s="61"/>
      <c r="D80" s="61"/>
    </row>
    <row r="81" spans="1:4" ht="24.6" customHeight="1" thickBot="1" x14ac:dyDescent="0.25">
      <c r="A81" s="62" t="s">
        <v>277</v>
      </c>
      <c r="B81" s="63" t="s">
        <v>278</v>
      </c>
      <c r="C81" s="61"/>
      <c r="D81" s="61"/>
    </row>
    <row r="82" spans="1:4" ht="24.6" customHeight="1" thickBot="1" x14ac:dyDescent="0.25">
      <c r="A82" s="62" t="s">
        <v>279</v>
      </c>
      <c r="B82" s="63" t="s">
        <v>280</v>
      </c>
      <c r="C82" s="61"/>
      <c r="D82" s="61"/>
    </row>
    <row r="83" spans="1:4" ht="24.6" customHeight="1" thickBot="1" x14ac:dyDescent="0.25">
      <c r="A83" s="62" t="s">
        <v>281</v>
      </c>
      <c r="B83" s="63" t="s">
        <v>282</v>
      </c>
      <c r="C83" s="61"/>
      <c r="D83" s="61"/>
    </row>
    <row r="84" spans="1:4" ht="24.6" customHeight="1" thickBot="1" x14ac:dyDescent="0.25">
      <c r="A84" s="62" t="s">
        <v>283</v>
      </c>
      <c r="B84" s="63" t="s">
        <v>284</v>
      </c>
      <c r="C84" s="61"/>
      <c r="D84" s="61"/>
    </row>
    <row r="85" spans="1:4" ht="24.6" customHeight="1" thickBot="1" x14ac:dyDescent="0.25">
      <c r="A85" s="62" t="s">
        <v>285</v>
      </c>
      <c r="B85" s="63" t="s">
        <v>286</v>
      </c>
      <c r="C85" s="61"/>
      <c r="D85" s="61"/>
    </row>
    <row r="86" spans="1:4" ht="24.6" customHeight="1" thickBot="1" x14ac:dyDescent="0.25">
      <c r="A86" s="62" t="s">
        <v>287</v>
      </c>
      <c r="B86" s="63" t="s">
        <v>288</v>
      </c>
      <c r="C86" s="61"/>
      <c r="D86" s="61"/>
    </row>
    <row r="87" spans="1:4" ht="24.6" customHeight="1" thickBot="1" x14ac:dyDescent="0.25">
      <c r="A87" s="62" t="s">
        <v>289</v>
      </c>
      <c r="B87" s="63" t="s">
        <v>290</v>
      </c>
      <c r="C87" s="61"/>
      <c r="D87" s="61"/>
    </row>
    <row r="88" spans="1:4" ht="24.6" customHeight="1" thickBot="1" x14ac:dyDescent="0.25">
      <c r="A88" s="62" t="s">
        <v>291</v>
      </c>
      <c r="B88" s="63" t="s">
        <v>292</v>
      </c>
      <c r="C88" s="61"/>
      <c r="D88" s="61"/>
    </row>
    <row r="89" spans="1:4" ht="24.6" customHeight="1" thickBot="1" x14ac:dyDescent="0.25">
      <c r="A89" s="62" t="s">
        <v>293</v>
      </c>
      <c r="B89" s="63" t="s">
        <v>294</v>
      </c>
      <c r="C89" s="61"/>
      <c r="D89" s="61"/>
    </row>
    <row r="90" spans="1:4" ht="24.6" customHeight="1" thickBot="1" x14ac:dyDescent="0.25">
      <c r="A90" s="62" t="s">
        <v>295</v>
      </c>
      <c r="B90" s="63" t="s">
        <v>296</v>
      </c>
      <c r="C90" s="61"/>
      <c r="D90" s="61"/>
    </row>
    <row r="91" spans="1:4" ht="24.6" customHeight="1" thickBot="1" x14ac:dyDescent="0.25">
      <c r="A91" s="62" t="s">
        <v>297</v>
      </c>
      <c r="B91" s="63" t="s">
        <v>298</v>
      </c>
      <c r="C91" s="61"/>
      <c r="D91" s="61"/>
    </row>
    <row r="92" spans="1:4" ht="24.6" customHeight="1" thickBot="1" x14ac:dyDescent="0.25">
      <c r="A92" s="911" t="s">
        <v>299</v>
      </c>
      <c r="B92" s="912"/>
      <c r="C92" s="61"/>
      <c r="D92" s="61"/>
    </row>
    <row r="93" spans="1:4" ht="24.6" customHeight="1" thickBot="1" x14ac:dyDescent="0.25">
      <c r="A93" s="62" t="s">
        <v>300</v>
      </c>
      <c r="B93" s="63" t="s">
        <v>301</v>
      </c>
      <c r="C93" s="61"/>
      <c r="D93" s="61"/>
    </row>
    <row r="94" spans="1:4" ht="24.6" customHeight="1" thickBot="1" x14ac:dyDescent="0.25">
      <c r="A94" s="62" t="s">
        <v>302</v>
      </c>
      <c r="B94" s="63" t="s">
        <v>303</v>
      </c>
      <c r="C94" s="61"/>
      <c r="D94" s="61"/>
    </row>
    <row r="95" spans="1:4" ht="24.6" customHeight="1" thickBot="1" x14ac:dyDescent="0.25">
      <c r="A95" s="62" t="s">
        <v>304</v>
      </c>
      <c r="B95" s="63" t="s">
        <v>305</v>
      </c>
      <c r="C95" s="61"/>
      <c r="D95" s="61"/>
    </row>
    <row r="96" spans="1:4" ht="24.6" customHeight="1" thickBot="1" x14ac:dyDescent="0.25">
      <c r="A96" s="62" t="s">
        <v>306</v>
      </c>
      <c r="B96" s="63" t="s">
        <v>307</v>
      </c>
      <c r="C96" s="61"/>
      <c r="D96" s="61"/>
    </row>
    <row r="97" spans="1:4" ht="24.6" customHeight="1" thickBot="1" x14ac:dyDescent="0.25">
      <c r="A97" s="62" t="s">
        <v>308</v>
      </c>
      <c r="B97" s="63" t="s">
        <v>309</v>
      </c>
      <c r="C97" s="61"/>
      <c r="D97" s="61"/>
    </row>
    <row r="98" spans="1:4" ht="24.6" customHeight="1" thickBot="1" x14ac:dyDescent="0.25">
      <c r="A98" s="62" t="s">
        <v>310</v>
      </c>
      <c r="B98" s="63" t="s">
        <v>311</v>
      </c>
      <c r="C98" s="61"/>
      <c r="D98" s="61"/>
    </row>
    <row r="99" spans="1:4" ht="24.6" customHeight="1" thickBot="1" x14ac:dyDescent="0.25">
      <c r="A99" s="62" t="s">
        <v>312</v>
      </c>
      <c r="B99" s="63" t="s">
        <v>313</v>
      </c>
      <c r="C99" s="61"/>
      <c r="D99" s="61"/>
    </row>
    <row r="100" spans="1:4" ht="24.6" customHeight="1" thickBot="1" x14ac:dyDescent="0.25">
      <c r="A100" s="62" t="s">
        <v>314</v>
      </c>
      <c r="B100" s="63" t="s">
        <v>315</v>
      </c>
      <c r="C100" s="61"/>
      <c r="D100" s="61"/>
    </row>
    <row r="101" spans="1:4" ht="24.6" customHeight="1" thickBot="1" x14ac:dyDescent="0.25">
      <c r="A101" s="62" t="s">
        <v>316</v>
      </c>
      <c r="B101" s="63" t="s">
        <v>317</v>
      </c>
      <c r="C101" s="61"/>
      <c r="D101" s="61"/>
    </row>
    <row r="102" spans="1:4" ht="24.6" customHeight="1" thickBot="1" x14ac:dyDescent="0.25">
      <c r="A102" s="62" t="s">
        <v>318</v>
      </c>
      <c r="B102" s="63" t="s">
        <v>319</v>
      </c>
      <c r="C102" s="61"/>
      <c r="D102" s="61"/>
    </row>
    <row r="103" spans="1:4" ht="24.6" customHeight="1" thickBot="1" x14ac:dyDescent="0.25">
      <c r="A103" s="62" t="s">
        <v>320</v>
      </c>
      <c r="B103" s="63" t="s">
        <v>321</v>
      </c>
      <c r="C103" s="61"/>
      <c r="D103" s="61"/>
    </row>
    <row r="104" spans="1:4" ht="24.6" customHeight="1" thickBot="1" x14ac:dyDescent="0.25">
      <c r="A104" s="62" t="s">
        <v>322</v>
      </c>
      <c r="B104" s="63" t="s">
        <v>323</v>
      </c>
      <c r="C104" s="61"/>
      <c r="D104" s="61"/>
    </row>
    <row r="105" spans="1:4" ht="24.6" customHeight="1" thickBot="1" x14ac:dyDescent="0.25">
      <c r="A105" s="62" t="s">
        <v>324</v>
      </c>
      <c r="B105" s="63" t="s">
        <v>325</v>
      </c>
      <c r="C105" s="61"/>
      <c r="D105" s="61"/>
    </row>
    <row r="106" spans="1:4" ht="24.6" customHeight="1" thickBot="1" x14ac:dyDescent="0.25">
      <c r="A106" s="62" t="s">
        <v>326</v>
      </c>
      <c r="B106" s="63" t="s">
        <v>327</v>
      </c>
      <c r="C106" s="61"/>
      <c r="D106" s="61"/>
    </row>
    <row r="107" spans="1:4" ht="24.6" customHeight="1" thickBot="1" x14ac:dyDescent="0.25">
      <c r="A107" s="911" t="s">
        <v>328</v>
      </c>
      <c r="B107" s="912"/>
      <c r="C107" s="61"/>
      <c r="D107" s="61"/>
    </row>
    <row r="108" spans="1:4" ht="24.6" customHeight="1" thickBot="1" x14ac:dyDescent="0.25">
      <c r="A108" s="62" t="s">
        <v>329</v>
      </c>
      <c r="B108" s="63" t="s">
        <v>330</v>
      </c>
      <c r="C108" s="61"/>
      <c r="D108" s="61"/>
    </row>
    <row r="109" spans="1:4" ht="24.6" customHeight="1" thickBot="1" x14ac:dyDescent="0.25">
      <c r="A109" s="62" t="s">
        <v>331</v>
      </c>
      <c r="B109" s="63" t="s">
        <v>332</v>
      </c>
      <c r="C109" s="61"/>
      <c r="D109" s="61"/>
    </row>
    <row r="110" spans="1:4" ht="24.6" customHeight="1" thickBot="1" x14ac:dyDescent="0.25">
      <c r="A110" s="62" t="s">
        <v>333</v>
      </c>
      <c r="B110" s="63" t="s">
        <v>334</v>
      </c>
      <c r="C110" s="61"/>
      <c r="D110" s="61"/>
    </row>
    <row r="111" spans="1:4" ht="24.6" customHeight="1" thickBot="1" x14ac:dyDescent="0.25">
      <c r="A111" s="62" t="s">
        <v>335</v>
      </c>
      <c r="B111" s="63" t="s">
        <v>336</v>
      </c>
      <c r="C111" s="61"/>
      <c r="D111" s="61"/>
    </row>
    <row r="112" spans="1:4" ht="24.6" customHeight="1" thickBot="1" x14ac:dyDescent="0.25">
      <c r="A112" s="62" t="s">
        <v>337</v>
      </c>
      <c r="B112" s="63" t="s">
        <v>338</v>
      </c>
      <c r="C112" s="61"/>
      <c r="D112" s="61"/>
    </row>
    <row r="113" spans="1:4" ht="24.6" customHeight="1" thickBot="1" x14ac:dyDescent="0.25">
      <c r="A113" s="911" t="s">
        <v>339</v>
      </c>
      <c r="B113" s="912"/>
      <c r="C113" s="61"/>
      <c r="D113" s="61"/>
    </row>
    <row r="114" spans="1:4" ht="24.6" customHeight="1" thickBot="1" x14ac:dyDescent="0.25">
      <c r="A114" s="62" t="s">
        <v>340</v>
      </c>
      <c r="B114" s="63" t="s">
        <v>341</v>
      </c>
      <c r="C114" s="61"/>
      <c r="D114" s="61"/>
    </row>
    <row r="115" spans="1:4" ht="24.6" customHeight="1" thickBot="1" x14ac:dyDescent="0.25">
      <c r="A115" s="62" t="s">
        <v>342</v>
      </c>
      <c r="B115" s="63" t="s">
        <v>343</v>
      </c>
      <c r="C115" s="61"/>
      <c r="D115" s="61"/>
    </row>
    <row r="116" spans="1:4" ht="24.6" customHeight="1" thickBot="1" x14ac:dyDescent="0.25">
      <c r="A116" s="62" t="s">
        <v>344</v>
      </c>
      <c r="B116" s="63" t="s">
        <v>345</v>
      </c>
      <c r="C116" s="61"/>
      <c r="D116" s="61"/>
    </row>
    <row r="117" spans="1:4" ht="24.6" customHeight="1" thickBot="1" x14ac:dyDescent="0.25">
      <c r="A117" s="62" t="s">
        <v>346</v>
      </c>
      <c r="B117" s="63" t="s">
        <v>347</v>
      </c>
      <c r="C117" s="61"/>
      <c r="D117" s="61"/>
    </row>
    <row r="118" spans="1:4" ht="24.6" customHeight="1" thickBot="1" x14ac:dyDescent="0.25">
      <c r="A118" s="914" t="s">
        <v>348</v>
      </c>
      <c r="B118" s="915"/>
      <c r="C118" s="61"/>
      <c r="D118" s="61"/>
    </row>
    <row r="119" spans="1:4" ht="24.6" customHeight="1" thickBot="1" x14ac:dyDescent="0.25">
      <c r="A119" s="62" t="s">
        <v>349</v>
      </c>
      <c r="B119" s="63" t="s">
        <v>350</v>
      </c>
      <c r="C119" s="61"/>
      <c r="D119" s="61"/>
    </row>
    <row r="120" spans="1:4" ht="24.6" customHeight="1" thickBot="1" x14ac:dyDescent="0.25">
      <c r="A120" s="62" t="s">
        <v>351</v>
      </c>
      <c r="B120" s="63" t="s">
        <v>352</v>
      </c>
      <c r="C120" s="61"/>
      <c r="D120" s="61"/>
    </row>
    <row r="121" spans="1:4" ht="24.6" customHeight="1" thickBot="1" x14ac:dyDescent="0.25">
      <c r="A121" s="62" t="s">
        <v>353</v>
      </c>
      <c r="B121" s="63" t="s">
        <v>354</v>
      </c>
      <c r="C121" s="61"/>
      <c r="D121" s="61"/>
    </row>
    <row r="122" spans="1:4" ht="24.6" customHeight="1" thickBot="1" x14ac:dyDescent="0.25">
      <c r="A122" s="62" t="s">
        <v>355</v>
      </c>
      <c r="B122" s="63" t="s">
        <v>356</v>
      </c>
      <c r="C122" s="61"/>
      <c r="D122" s="61"/>
    </row>
    <row r="123" spans="1:4" ht="24.6" customHeight="1" thickBot="1" x14ac:dyDescent="0.25">
      <c r="A123" s="62" t="s">
        <v>357</v>
      </c>
      <c r="B123" s="63" t="s">
        <v>358</v>
      </c>
      <c r="C123" s="61"/>
      <c r="D123" s="61"/>
    </row>
    <row r="124" spans="1:4" ht="24.6" customHeight="1" thickBot="1" x14ac:dyDescent="0.25">
      <c r="A124" s="914" t="s">
        <v>359</v>
      </c>
      <c r="B124" s="915"/>
      <c r="C124" s="61"/>
      <c r="D124" s="61"/>
    </row>
    <row r="125" spans="1:4" ht="24.6" customHeight="1" thickBot="1" x14ac:dyDescent="0.25">
      <c r="A125" s="62" t="s">
        <v>360</v>
      </c>
      <c r="B125" s="63" t="s">
        <v>361</v>
      </c>
      <c r="C125" s="61"/>
      <c r="D125" s="61"/>
    </row>
    <row r="126" spans="1:4" ht="24.6" customHeight="1" thickBot="1" x14ac:dyDescent="0.25">
      <c r="A126" s="62" t="s">
        <v>362</v>
      </c>
      <c r="B126" s="63" t="s">
        <v>363</v>
      </c>
      <c r="C126" s="61"/>
      <c r="D126" s="61"/>
    </row>
    <row r="127" spans="1:4" ht="24.6" customHeight="1" thickBot="1" x14ac:dyDescent="0.25">
      <c r="A127" s="62" t="s">
        <v>364</v>
      </c>
      <c r="B127" s="63" t="s">
        <v>365</v>
      </c>
      <c r="C127" s="61"/>
      <c r="D127" s="61"/>
    </row>
    <row r="128" spans="1:4" ht="24.6" customHeight="1" thickBot="1" x14ac:dyDescent="0.25">
      <c r="A128" s="62" t="s">
        <v>366</v>
      </c>
      <c r="B128" s="63" t="s">
        <v>367</v>
      </c>
      <c r="C128" s="61"/>
      <c r="D128" s="61"/>
    </row>
    <row r="129" spans="1:4" ht="24.6" customHeight="1" thickBot="1" x14ac:dyDescent="0.25">
      <c r="A129" s="62" t="s">
        <v>368</v>
      </c>
      <c r="B129" s="63" t="s">
        <v>369</v>
      </c>
      <c r="C129" s="61"/>
      <c r="D129" s="61"/>
    </row>
    <row r="130" spans="1:4" ht="24.6" customHeight="1" thickBot="1" x14ac:dyDescent="0.25">
      <c r="A130" s="62" t="s">
        <v>370</v>
      </c>
      <c r="B130" s="63" t="s">
        <v>371</v>
      </c>
      <c r="C130" s="61"/>
      <c r="D130" s="61"/>
    </row>
    <row r="131" spans="1:4" ht="24.6" customHeight="1" thickBot="1" x14ac:dyDescent="0.25">
      <c r="A131" s="62" t="s">
        <v>372</v>
      </c>
      <c r="B131" s="63" t="s">
        <v>373</v>
      </c>
      <c r="C131" s="61"/>
      <c r="D131" s="61"/>
    </row>
    <row r="132" spans="1:4" ht="24.6" customHeight="1" thickBot="1" x14ac:dyDescent="0.25">
      <c r="A132" s="62" t="s">
        <v>374</v>
      </c>
      <c r="B132" s="63" t="s">
        <v>375</v>
      </c>
      <c r="C132" s="61"/>
      <c r="D132" s="61"/>
    </row>
    <row r="133" spans="1:4" ht="24.6" customHeight="1" thickBot="1" x14ac:dyDescent="0.25">
      <c r="A133" s="62" t="s">
        <v>376</v>
      </c>
      <c r="B133" s="63" t="s">
        <v>377</v>
      </c>
      <c r="C133" s="61"/>
      <c r="D133" s="61"/>
    </row>
    <row r="134" spans="1:4" ht="24.6" customHeight="1" thickBot="1" x14ac:dyDescent="0.25">
      <c r="A134" s="62" t="s">
        <v>378</v>
      </c>
      <c r="B134" s="63" t="s">
        <v>379</v>
      </c>
      <c r="C134" s="61"/>
      <c r="D134" s="61"/>
    </row>
    <row r="135" spans="1:4" ht="24.6" customHeight="1" thickBot="1" x14ac:dyDescent="0.25">
      <c r="A135" s="62" t="s">
        <v>380</v>
      </c>
      <c r="B135" s="63" t="s">
        <v>381</v>
      </c>
      <c r="C135" s="61"/>
      <c r="D135" s="61"/>
    </row>
    <row r="136" spans="1:4" ht="24.6" customHeight="1" thickBot="1" x14ac:dyDescent="0.25">
      <c r="A136" s="62" t="s">
        <v>382</v>
      </c>
      <c r="B136" s="63" t="s">
        <v>383</v>
      </c>
      <c r="C136" s="61"/>
      <c r="D136" s="61"/>
    </row>
    <row r="137" spans="1:4" ht="24.6" customHeight="1" thickBot="1" x14ac:dyDescent="0.25">
      <c r="A137" s="62" t="s">
        <v>384</v>
      </c>
      <c r="B137" s="63" t="s">
        <v>385</v>
      </c>
      <c r="C137" s="61"/>
      <c r="D137" s="61"/>
    </row>
    <row r="138" spans="1:4" ht="24.6" customHeight="1" thickBot="1" x14ac:dyDescent="0.25">
      <c r="A138" s="62" t="s">
        <v>386</v>
      </c>
      <c r="B138" s="63" t="s">
        <v>387</v>
      </c>
      <c r="C138" s="61"/>
      <c r="D138" s="61"/>
    </row>
    <row r="139" spans="1:4" ht="24.6" customHeight="1" thickBot="1" x14ac:dyDescent="0.25">
      <c r="A139" s="62" t="s">
        <v>388</v>
      </c>
      <c r="B139" s="63" t="s">
        <v>389</v>
      </c>
      <c r="C139" s="61"/>
      <c r="D139" s="61"/>
    </row>
    <row r="140" spans="1:4" ht="24.6" customHeight="1" thickBot="1" x14ac:dyDescent="0.25">
      <c r="A140" s="62" t="s">
        <v>390</v>
      </c>
      <c r="B140" s="63" t="s">
        <v>391</v>
      </c>
      <c r="C140" s="61"/>
      <c r="D140" s="61"/>
    </row>
    <row r="141" spans="1:4" ht="24.6" customHeight="1" thickBot="1" x14ac:dyDescent="0.25">
      <c r="A141" s="62" t="s">
        <v>392</v>
      </c>
      <c r="B141" s="63" t="s">
        <v>393</v>
      </c>
      <c r="C141" s="61"/>
      <c r="D141" s="61"/>
    </row>
    <row r="142" spans="1:4" ht="24.6" customHeight="1" thickBot="1" x14ac:dyDescent="0.25">
      <c r="A142" s="62" t="s">
        <v>394</v>
      </c>
      <c r="B142" s="63" t="s">
        <v>395</v>
      </c>
      <c r="C142" s="61"/>
      <c r="D142" s="61"/>
    </row>
    <row r="143" spans="1:4" ht="24.6" customHeight="1" thickBot="1" x14ac:dyDescent="0.25">
      <c r="A143" s="62" t="s">
        <v>396</v>
      </c>
      <c r="B143" s="63" t="s">
        <v>397</v>
      </c>
      <c r="C143" s="61"/>
      <c r="D143" s="61"/>
    </row>
    <row r="144" spans="1:4" ht="24.6" customHeight="1" thickBot="1" x14ac:dyDescent="0.25">
      <c r="A144" s="62" t="s">
        <v>398</v>
      </c>
      <c r="B144" s="63" t="s">
        <v>399</v>
      </c>
      <c r="C144" s="61"/>
      <c r="D144" s="61"/>
    </row>
    <row r="145" spans="1:4" ht="24.6" customHeight="1" thickBot="1" x14ac:dyDescent="0.25">
      <c r="A145" s="62" t="s">
        <v>400</v>
      </c>
      <c r="B145" s="63" t="s">
        <v>401</v>
      </c>
      <c r="C145" s="61"/>
      <c r="D145" s="61"/>
    </row>
    <row r="146" spans="1:4" ht="24.6" customHeight="1" thickBot="1" x14ac:dyDescent="0.25">
      <c r="A146" s="62" t="s">
        <v>402</v>
      </c>
      <c r="B146" s="63" t="s">
        <v>403</v>
      </c>
      <c r="C146" s="61"/>
      <c r="D146" s="61"/>
    </row>
    <row r="147" spans="1:4" ht="24.6" customHeight="1" thickBot="1" x14ac:dyDescent="0.25">
      <c r="A147" s="62" t="s">
        <v>404</v>
      </c>
      <c r="B147" s="63" t="s">
        <v>267</v>
      </c>
      <c r="C147" s="61"/>
      <c r="D147" s="61"/>
    </row>
    <row r="148" spans="1:4" ht="24.6" customHeight="1" thickBot="1" x14ac:dyDescent="0.25">
      <c r="A148" s="62" t="s">
        <v>405</v>
      </c>
      <c r="B148" s="63" t="s">
        <v>406</v>
      </c>
      <c r="C148" s="61"/>
      <c r="D148" s="61"/>
    </row>
    <row r="149" spans="1:4" ht="24.6" customHeight="1" thickBot="1" x14ac:dyDescent="0.25">
      <c r="A149" s="62" t="s">
        <v>407</v>
      </c>
      <c r="B149" s="63" t="s">
        <v>408</v>
      </c>
      <c r="C149" s="61"/>
      <c r="D149" s="61"/>
    </row>
    <row r="150" spans="1:4" ht="24.6" customHeight="1" thickBot="1" x14ac:dyDescent="0.25">
      <c r="A150" s="914" t="s">
        <v>409</v>
      </c>
      <c r="B150" s="915"/>
      <c r="C150" s="61"/>
      <c r="D150" s="61"/>
    </row>
    <row r="151" spans="1:4" ht="24.6" customHeight="1" thickBot="1" x14ac:dyDescent="0.25">
      <c r="A151" s="911" t="s">
        <v>268</v>
      </c>
      <c r="B151" s="912"/>
      <c r="C151" s="61"/>
      <c r="D151" s="61"/>
    </row>
    <row r="152" spans="1:4" ht="24.6" customHeight="1" thickBot="1" x14ac:dyDescent="0.25">
      <c r="A152" s="62" t="s">
        <v>410</v>
      </c>
      <c r="B152" s="63" t="s">
        <v>411</v>
      </c>
      <c r="C152" s="61"/>
      <c r="D152" s="61"/>
    </row>
    <row r="153" spans="1:4" ht="24.6" customHeight="1" thickBot="1" x14ac:dyDescent="0.25">
      <c r="A153" s="62" t="s">
        <v>412</v>
      </c>
      <c r="B153" s="63" t="s">
        <v>301</v>
      </c>
      <c r="C153" s="61"/>
      <c r="D153" s="61"/>
    </row>
    <row r="154" spans="1:4" ht="24.6" customHeight="1" thickBot="1" x14ac:dyDescent="0.25">
      <c r="A154" s="62" t="s">
        <v>413</v>
      </c>
      <c r="B154" s="63" t="s">
        <v>414</v>
      </c>
      <c r="C154" s="61"/>
      <c r="D154" s="61"/>
    </row>
    <row r="155" spans="1:4" ht="24.6" customHeight="1" thickBot="1" x14ac:dyDescent="0.25">
      <c r="A155" s="911" t="s">
        <v>415</v>
      </c>
      <c r="B155" s="912"/>
      <c r="C155" s="61"/>
      <c r="D155" s="61"/>
    </row>
    <row r="156" spans="1:4" ht="24.6" customHeight="1" thickBot="1" x14ac:dyDescent="0.25">
      <c r="A156" s="62" t="s">
        <v>416</v>
      </c>
      <c r="B156" s="63" t="s">
        <v>417</v>
      </c>
      <c r="C156" s="61"/>
      <c r="D156" s="61"/>
    </row>
    <row r="157" spans="1:4" ht="24.6" customHeight="1" thickBot="1" x14ac:dyDescent="0.25">
      <c r="A157" s="62" t="s">
        <v>418</v>
      </c>
      <c r="B157" s="63" t="s">
        <v>419</v>
      </c>
      <c r="C157" s="61"/>
      <c r="D157" s="61"/>
    </row>
    <row r="158" spans="1:4" ht="24.6" customHeight="1" thickBot="1" x14ac:dyDescent="0.25">
      <c r="A158" s="62" t="s">
        <v>420</v>
      </c>
      <c r="B158" s="63" t="s">
        <v>421</v>
      </c>
      <c r="C158" s="61"/>
      <c r="D158" s="61"/>
    </row>
    <row r="159" spans="1:4" ht="24.6" customHeight="1" thickBot="1" x14ac:dyDescent="0.25">
      <c r="A159" s="62" t="s">
        <v>422</v>
      </c>
      <c r="B159" s="63" t="s">
        <v>423</v>
      </c>
      <c r="C159" s="61"/>
      <c r="D159" s="61"/>
    </row>
    <row r="160" spans="1:4" ht="24.6" customHeight="1" thickBot="1" x14ac:dyDescent="0.25">
      <c r="A160" s="62" t="s">
        <v>424</v>
      </c>
      <c r="B160" s="63" t="s">
        <v>425</v>
      </c>
      <c r="C160" s="61"/>
      <c r="D160" s="61"/>
    </row>
    <row r="161" spans="1:4" ht="24.6" customHeight="1" thickBot="1" x14ac:dyDescent="0.25">
      <c r="A161" s="62" t="s">
        <v>426</v>
      </c>
      <c r="B161" s="63" t="s">
        <v>427</v>
      </c>
      <c r="C161" s="61"/>
      <c r="D161" s="61"/>
    </row>
    <row r="162" spans="1:4" ht="24.6" customHeight="1" thickBot="1" x14ac:dyDescent="0.25">
      <c r="A162" s="62" t="s">
        <v>428</v>
      </c>
      <c r="B162" s="63" t="s">
        <v>429</v>
      </c>
      <c r="C162" s="61"/>
      <c r="D162" s="61"/>
    </row>
    <row r="163" spans="1:4" ht="24.6" customHeight="1" thickBot="1" x14ac:dyDescent="0.25">
      <c r="A163" s="62" t="s">
        <v>430</v>
      </c>
      <c r="B163" s="63" t="s">
        <v>431</v>
      </c>
      <c r="C163" s="61"/>
      <c r="D163" s="61"/>
    </row>
    <row r="164" spans="1:4" ht="24.6" customHeight="1" thickBot="1" x14ac:dyDescent="0.25">
      <c r="A164" s="62" t="s">
        <v>432</v>
      </c>
      <c r="B164" s="63" t="s">
        <v>433</v>
      </c>
      <c r="C164" s="61"/>
      <c r="D164" s="61"/>
    </row>
    <row r="165" spans="1:4" ht="24.6" customHeight="1" thickBot="1" x14ac:dyDescent="0.25">
      <c r="A165" s="62" t="s">
        <v>434</v>
      </c>
      <c r="B165" s="63" t="s">
        <v>435</v>
      </c>
      <c r="C165" s="61"/>
      <c r="D165" s="61"/>
    </row>
    <row r="166" spans="1:4" ht="24.6" customHeight="1" thickBot="1" x14ac:dyDescent="0.25">
      <c r="A166" s="62" t="s">
        <v>436</v>
      </c>
      <c r="B166" s="63" t="s">
        <v>437</v>
      </c>
      <c r="C166" s="61"/>
      <c r="D166" s="61"/>
    </row>
    <row r="167" spans="1:4" ht="24.6" customHeight="1" thickBot="1" x14ac:dyDescent="0.25">
      <c r="A167" s="62" t="s">
        <v>438</v>
      </c>
      <c r="B167" s="63" t="s">
        <v>439</v>
      </c>
      <c r="C167" s="61"/>
      <c r="D167" s="61"/>
    </row>
    <row r="168" spans="1:4" ht="24.6" customHeight="1" thickBot="1" x14ac:dyDescent="0.25">
      <c r="A168" s="62" t="s">
        <v>440</v>
      </c>
      <c r="B168" s="63" t="s">
        <v>441</v>
      </c>
      <c r="C168" s="61"/>
      <c r="D168" s="61"/>
    </row>
    <row r="169" spans="1:4" ht="24.6" customHeight="1" thickBot="1" x14ac:dyDescent="0.25">
      <c r="A169" s="62" t="s">
        <v>442</v>
      </c>
      <c r="B169" s="63" t="s">
        <v>443</v>
      </c>
      <c r="C169" s="61"/>
      <c r="D169" s="61"/>
    </row>
    <row r="170" spans="1:4" ht="24.6" customHeight="1" thickBot="1" x14ac:dyDescent="0.25">
      <c r="A170" s="62" t="s">
        <v>444</v>
      </c>
      <c r="B170" s="63" t="s">
        <v>445</v>
      </c>
      <c r="C170" s="61"/>
      <c r="D170" s="61"/>
    </row>
    <row r="171" spans="1:4" ht="24.6" customHeight="1" thickBot="1" x14ac:dyDescent="0.25">
      <c r="A171" s="62" t="s">
        <v>446</v>
      </c>
      <c r="B171" s="63" t="s">
        <v>447</v>
      </c>
      <c r="C171" s="61"/>
      <c r="D171" s="61"/>
    </row>
    <row r="172" spans="1:4" ht="24.6" customHeight="1" thickBot="1" x14ac:dyDescent="0.25">
      <c r="A172" s="62" t="s">
        <v>448</v>
      </c>
      <c r="B172" s="63" t="s">
        <v>449</v>
      </c>
      <c r="C172" s="61"/>
      <c r="D172" s="61"/>
    </row>
    <row r="173" spans="1:4" ht="24.6" customHeight="1" thickBot="1" x14ac:dyDescent="0.25">
      <c r="A173" s="62" t="s">
        <v>450</v>
      </c>
      <c r="B173" s="63" t="s">
        <v>451</v>
      </c>
      <c r="C173" s="61"/>
      <c r="D173" s="61"/>
    </row>
    <row r="174" spans="1:4" ht="24.6" customHeight="1" thickBot="1" x14ac:dyDescent="0.25">
      <c r="A174" s="62" t="s">
        <v>452</v>
      </c>
      <c r="B174" s="63" t="s">
        <v>395</v>
      </c>
      <c r="C174" s="61"/>
      <c r="D174" s="61"/>
    </row>
    <row r="175" spans="1:4" ht="24.6" customHeight="1" thickBot="1" x14ac:dyDescent="0.25">
      <c r="A175" s="62" t="s">
        <v>453</v>
      </c>
      <c r="B175" s="63" t="s">
        <v>347</v>
      </c>
      <c r="C175" s="61"/>
      <c r="D175" s="61"/>
    </row>
    <row r="176" spans="1:4" ht="24.6" customHeight="1" thickBot="1" x14ac:dyDescent="0.25">
      <c r="A176" s="911" t="s">
        <v>454</v>
      </c>
      <c r="B176" s="912"/>
      <c r="C176" s="61"/>
      <c r="D176" s="61"/>
    </row>
    <row r="177" spans="1:4" ht="24.6" customHeight="1" thickBot="1" x14ac:dyDescent="0.25">
      <c r="A177" s="62" t="s">
        <v>455</v>
      </c>
      <c r="B177" s="63" t="s">
        <v>417</v>
      </c>
      <c r="C177" s="61"/>
      <c r="D177" s="61"/>
    </row>
    <row r="178" spans="1:4" ht="24.6" customHeight="1" thickBot="1" x14ac:dyDescent="0.25">
      <c r="A178" s="62" t="s">
        <v>456</v>
      </c>
      <c r="B178" s="63" t="s">
        <v>457</v>
      </c>
      <c r="C178" s="61"/>
      <c r="D178" s="61"/>
    </row>
    <row r="179" spans="1:4" ht="24.6" customHeight="1" thickBot="1" x14ac:dyDescent="0.25">
      <c r="A179" s="62" t="s">
        <v>458</v>
      </c>
      <c r="B179" s="63" t="s">
        <v>459</v>
      </c>
      <c r="C179" s="61"/>
      <c r="D179" s="61"/>
    </row>
    <row r="180" spans="1:4" ht="24.6" customHeight="1" thickBot="1" x14ac:dyDescent="0.25">
      <c r="A180" s="62" t="s">
        <v>460</v>
      </c>
      <c r="B180" s="63" t="s">
        <v>461</v>
      </c>
      <c r="C180" s="61"/>
      <c r="D180" s="61"/>
    </row>
    <row r="181" spans="1:4" ht="24.6" customHeight="1" thickBot="1" x14ac:dyDescent="0.25">
      <c r="A181" s="62" t="s">
        <v>462</v>
      </c>
      <c r="B181" s="63" t="s">
        <v>463</v>
      </c>
      <c r="C181" s="61"/>
      <c r="D181" s="61"/>
    </row>
    <row r="182" spans="1:4" ht="24.6" customHeight="1" thickBot="1" x14ac:dyDescent="0.25">
      <c r="A182" s="62" t="s">
        <v>464</v>
      </c>
      <c r="B182" s="63" t="s">
        <v>347</v>
      </c>
      <c r="C182" s="61"/>
      <c r="D182" s="61"/>
    </row>
    <row r="183" spans="1:4" ht="24.6" customHeight="1" thickBot="1" x14ac:dyDescent="0.25">
      <c r="A183" s="62" t="s">
        <v>465</v>
      </c>
      <c r="B183" s="63" t="s">
        <v>327</v>
      </c>
      <c r="C183" s="61"/>
      <c r="D183" s="61"/>
    </row>
    <row r="184" spans="1:4" ht="24.6" customHeight="1" thickBot="1" x14ac:dyDescent="0.25">
      <c r="A184" s="62" t="s">
        <v>466</v>
      </c>
      <c r="B184" s="63" t="s">
        <v>467</v>
      </c>
      <c r="C184" s="61"/>
      <c r="D184" s="61"/>
    </row>
    <row r="185" spans="1:4" ht="24.6" customHeight="1" thickBot="1" x14ac:dyDescent="0.25">
      <c r="A185" s="62" t="s">
        <v>468</v>
      </c>
      <c r="B185" s="63" t="s">
        <v>469</v>
      </c>
      <c r="C185" s="61"/>
      <c r="D185" s="61"/>
    </row>
    <row r="186" spans="1:4" ht="24.6" customHeight="1" thickBot="1" x14ac:dyDescent="0.25">
      <c r="A186" s="62" t="s">
        <v>470</v>
      </c>
      <c r="B186" s="63" t="s">
        <v>447</v>
      </c>
      <c r="C186" s="61"/>
      <c r="D186" s="61"/>
    </row>
    <row r="187" spans="1:4" ht="24.6" customHeight="1" thickBot="1" x14ac:dyDescent="0.25">
      <c r="A187" s="62" t="s">
        <v>471</v>
      </c>
      <c r="B187" s="63" t="s">
        <v>472</v>
      </c>
      <c r="C187" s="61"/>
      <c r="D187" s="61"/>
    </row>
    <row r="188" spans="1:4" ht="24.6" customHeight="1" thickBot="1" x14ac:dyDescent="0.25">
      <c r="A188" s="62" t="s">
        <v>473</v>
      </c>
      <c r="B188" s="63" t="s">
        <v>406</v>
      </c>
      <c r="C188" s="61"/>
      <c r="D188" s="61"/>
    </row>
    <row r="189" spans="1:4" ht="24.6" customHeight="1" thickBot="1" x14ac:dyDescent="0.25">
      <c r="A189" s="62" t="s">
        <v>474</v>
      </c>
      <c r="B189" s="63" t="s">
        <v>475</v>
      </c>
      <c r="C189" s="61"/>
      <c r="D189" s="61"/>
    </row>
    <row r="190" spans="1:4" ht="24.6" customHeight="1" thickBot="1" x14ac:dyDescent="0.25">
      <c r="A190" s="911" t="s">
        <v>476</v>
      </c>
      <c r="B190" s="912"/>
      <c r="C190" s="61"/>
      <c r="D190" s="61"/>
    </row>
    <row r="191" spans="1:4" ht="24.6" customHeight="1" thickBot="1" x14ac:dyDescent="0.25">
      <c r="A191" s="62" t="s">
        <v>477</v>
      </c>
      <c r="B191" s="63" t="s">
        <v>478</v>
      </c>
      <c r="C191" s="61"/>
      <c r="D191" s="61"/>
    </row>
    <row r="192" spans="1:4" ht="24.6" customHeight="1" thickBot="1" x14ac:dyDescent="0.25">
      <c r="A192" s="62" t="s">
        <v>479</v>
      </c>
      <c r="B192" s="63" t="s">
        <v>480</v>
      </c>
      <c r="C192" s="61"/>
      <c r="D192" s="61"/>
    </row>
    <row r="193" spans="1:4" ht="24.6" customHeight="1" thickBot="1" x14ac:dyDescent="0.25">
      <c r="A193" s="62" t="s">
        <v>481</v>
      </c>
      <c r="B193" s="63" t="s">
        <v>482</v>
      </c>
      <c r="C193" s="61"/>
      <c r="D193" s="61"/>
    </row>
    <row r="194" spans="1:4" ht="24.6" customHeight="1" thickBot="1" x14ac:dyDescent="0.25">
      <c r="A194" s="62" t="s">
        <v>483</v>
      </c>
      <c r="B194" s="63" t="s">
        <v>484</v>
      </c>
      <c r="C194" s="61"/>
      <c r="D194" s="61"/>
    </row>
    <row r="195" spans="1:4" ht="24.6" customHeight="1" thickBot="1" x14ac:dyDescent="0.25">
      <c r="A195" s="62" t="s">
        <v>485</v>
      </c>
      <c r="B195" s="63" t="s">
        <v>486</v>
      </c>
      <c r="C195" s="61"/>
      <c r="D195" s="61"/>
    </row>
    <row r="196" spans="1:4" ht="24.6" customHeight="1" thickBot="1" x14ac:dyDescent="0.25">
      <c r="A196" s="62" t="s">
        <v>487</v>
      </c>
      <c r="B196" s="63" t="s">
        <v>488</v>
      </c>
      <c r="C196" s="61"/>
      <c r="D196" s="61"/>
    </row>
    <row r="197" spans="1:4" ht="24.6" customHeight="1" thickBot="1" x14ac:dyDescent="0.25">
      <c r="A197" s="62" t="s">
        <v>489</v>
      </c>
      <c r="B197" s="63" t="s">
        <v>490</v>
      </c>
      <c r="C197" s="61"/>
      <c r="D197" s="61"/>
    </row>
    <row r="198" spans="1:4" ht="24.6" customHeight="1" thickBot="1" x14ac:dyDescent="0.25">
      <c r="A198" s="62" t="s">
        <v>491</v>
      </c>
      <c r="B198" s="63" t="s">
        <v>492</v>
      </c>
      <c r="C198" s="61"/>
      <c r="D198" s="61"/>
    </row>
    <row r="199" spans="1:4" ht="24.6" customHeight="1" thickBot="1" x14ac:dyDescent="0.25">
      <c r="A199" s="62" t="s">
        <v>493</v>
      </c>
      <c r="B199" s="63" t="s">
        <v>317</v>
      </c>
      <c r="C199" s="61"/>
      <c r="D199" s="61"/>
    </row>
    <row r="200" spans="1:4" ht="24.6" customHeight="1" thickBot="1" x14ac:dyDescent="0.25">
      <c r="A200" s="62" t="s">
        <v>494</v>
      </c>
      <c r="B200" s="63" t="s">
        <v>319</v>
      </c>
      <c r="C200" s="61"/>
      <c r="D200" s="61"/>
    </row>
    <row r="201" spans="1:4" ht="24.6" customHeight="1" thickBot="1" x14ac:dyDescent="0.25">
      <c r="A201" s="62" t="s">
        <v>495</v>
      </c>
      <c r="B201" s="63" t="s">
        <v>321</v>
      </c>
      <c r="C201" s="61"/>
      <c r="D201" s="61"/>
    </row>
    <row r="202" spans="1:4" ht="24.6" customHeight="1" thickBot="1" x14ac:dyDescent="0.25">
      <c r="A202" s="911" t="s">
        <v>496</v>
      </c>
      <c r="B202" s="912"/>
      <c r="C202" s="61"/>
      <c r="D202" s="61"/>
    </row>
    <row r="203" spans="1:4" ht="24.6" customHeight="1" thickBot="1" x14ac:dyDescent="0.25">
      <c r="A203" s="911" t="s">
        <v>497</v>
      </c>
      <c r="B203" s="912"/>
      <c r="C203" s="61"/>
      <c r="D203" s="61"/>
    </row>
    <row r="204" spans="1:4" ht="24.6" customHeight="1" thickBot="1" x14ac:dyDescent="0.25">
      <c r="A204" s="62" t="s">
        <v>498</v>
      </c>
      <c r="B204" s="63" t="s">
        <v>499</v>
      </c>
      <c r="C204" s="61"/>
      <c r="D204" s="61"/>
    </row>
    <row r="205" spans="1:4" ht="24.6" customHeight="1" thickBot="1" x14ac:dyDescent="0.25">
      <c r="A205" s="62" t="s">
        <v>500</v>
      </c>
      <c r="B205" s="63" t="s">
        <v>501</v>
      </c>
      <c r="C205" s="61"/>
      <c r="D205" s="61"/>
    </row>
    <row r="206" spans="1:4" ht="24.6" customHeight="1" thickBot="1" x14ac:dyDescent="0.25">
      <c r="A206" s="62" t="s">
        <v>502</v>
      </c>
      <c r="B206" s="63" t="s">
        <v>503</v>
      </c>
      <c r="C206" s="65"/>
      <c r="D206" s="61"/>
    </row>
    <row r="207" spans="1:4" ht="24.6" customHeight="1" thickBot="1" x14ac:dyDescent="0.25">
      <c r="A207" s="62" t="s">
        <v>504</v>
      </c>
      <c r="B207" s="911" t="s">
        <v>505</v>
      </c>
      <c r="C207" s="912"/>
      <c r="D207" s="61"/>
    </row>
    <row r="208" spans="1:4" ht="24.6" customHeight="1" thickBot="1" x14ac:dyDescent="0.25">
      <c r="A208" s="62" t="s">
        <v>506</v>
      </c>
      <c r="B208" s="911" t="s">
        <v>507</v>
      </c>
      <c r="C208" s="912"/>
      <c r="D208" s="61"/>
    </row>
    <row r="209" spans="1:4" ht="24.6" customHeight="1" thickBot="1" x14ac:dyDescent="0.25">
      <c r="A209" s="911" t="s">
        <v>508</v>
      </c>
      <c r="B209" s="913"/>
      <c r="C209" s="912"/>
      <c r="D209" s="61"/>
    </row>
    <row r="210" spans="1:4" ht="24.6" customHeight="1" thickBot="1" x14ac:dyDescent="0.25">
      <c r="A210" s="62" t="s">
        <v>509</v>
      </c>
      <c r="B210" s="911" t="s">
        <v>510</v>
      </c>
      <c r="C210" s="912"/>
      <c r="D210" s="61"/>
    </row>
    <row r="211" spans="1:4" ht="24.6" customHeight="1" thickBot="1" x14ac:dyDescent="0.25">
      <c r="A211" s="62" t="s">
        <v>511</v>
      </c>
      <c r="B211" s="911" t="s">
        <v>512</v>
      </c>
      <c r="C211" s="912"/>
      <c r="D211" s="61"/>
    </row>
    <row r="212" spans="1:4" ht="24.6" customHeight="1" thickBot="1" x14ac:dyDescent="0.25">
      <c r="A212" s="62" t="s">
        <v>513</v>
      </c>
      <c r="B212" s="911" t="s">
        <v>514</v>
      </c>
      <c r="C212" s="912"/>
      <c r="D212" s="61"/>
    </row>
    <row r="213" spans="1:4" ht="24.6" customHeight="1" thickBot="1" x14ac:dyDescent="0.25">
      <c r="A213" s="62" t="s">
        <v>515</v>
      </c>
      <c r="B213" s="911" t="s">
        <v>516</v>
      </c>
      <c r="C213" s="912"/>
      <c r="D213" s="61"/>
    </row>
    <row r="214" spans="1:4" ht="24.6" customHeight="1" thickBot="1" x14ac:dyDescent="0.25">
      <c r="A214" s="62" t="s">
        <v>517</v>
      </c>
      <c r="B214" s="911" t="s">
        <v>518</v>
      </c>
      <c r="C214" s="912"/>
      <c r="D214" s="61"/>
    </row>
    <row r="215" spans="1:4" ht="24.6" customHeight="1" thickBot="1" x14ac:dyDescent="0.25">
      <c r="A215" s="62" t="s">
        <v>519</v>
      </c>
      <c r="B215" s="911" t="s">
        <v>520</v>
      </c>
      <c r="C215" s="912"/>
      <c r="D215" s="61"/>
    </row>
    <row r="216" spans="1:4" ht="24.6" customHeight="1" thickBot="1" x14ac:dyDescent="0.25">
      <c r="A216" s="911" t="s">
        <v>521</v>
      </c>
      <c r="B216" s="913"/>
      <c r="C216" s="912"/>
      <c r="D216" s="61"/>
    </row>
    <row r="217" spans="1:4" ht="24.6" customHeight="1" thickBot="1" x14ac:dyDescent="0.25">
      <c r="A217" s="62" t="s">
        <v>522</v>
      </c>
      <c r="B217" s="911" t="s">
        <v>523</v>
      </c>
      <c r="C217" s="912"/>
      <c r="D217" s="61"/>
    </row>
    <row r="218" spans="1:4" ht="24.6" customHeight="1" thickBot="1" x14ac:dyDescent="0.25">
      <c r="A218" s="62" t="s">
        <v>524</v>
      </c>
      <c r="B218" s="911" t="s">
        <v>525</v>
      </c>
      <c r="C218" s="912"/>
      <c r="D218" s="61"/>
    </row>
    <row r="219" spans="1:4" ht="24.6" customHeight="1" thickBot="1" x14ac:dyDescent="0.25">
      <c r="A219" s="62" t="s">
        <v>526</v>
      </c>
      <c r="B219" s="911" t="s">
        <v>527</v>
      </c>
      <c r="C219" s="912"/>
      <c r="D219" s="61"/>
    </row>
    <row r="220" spans="1:4" ht="24.6" customHeight="1" thickBot="1" x14ac:dyDescent="0.25">
      <c r="A220" s="62" t="s">
        <v>528</v>
      </c>
      <c r="B220" s="911" t="s">
        <v>529</v>
      </c>
      <c r="C220" s="912"/>
      <c r="D220" s="61"/>
    </row>
    <row r="221" spans="1:4" ht="24.6" customHeight="1" thickBot="1" x14ac:dyDescent="0.25">
      <c r="A221" s="62" t="s">
        <v>530</v>
      </c>
      <c r="B221" s="911" t="s">
        <v>531</v>
      </c>
      <c r="C221" s="912"/>
      <c r="D221" s="61"/>
    </row>
    <row r="222" spans="1:4" ht="24.6" customHeight="1" thickBot="1" x14ac:dyDescent="0.25">
      <c r="A222" s="62" t="s">
        <v>532</v>
      </c>
      <c r="B222" s="911" t="s">
        <v>533</v>
      </c>
      <c r="C222" s="912"/>
      <c r="D222" s="61"/>
    </row>
    <row r="223" spans="1:4" ht="24.6" customHeight="1" thickBot="1" x14ac:dyDescent="0.25">
      <c r="A223" s="911" t="s">
        <v>534</v>
      </c>
      <c r="B223" s="913"/>
      <c r="C223" s="912"/>
      <c r="D223" s="61"/>
    </row>
    <row r="224" spans="1:4" ht="24.6" customHeight="1" thickBot="1" x14ac:dyDescent="0.25">
      <c r="A224" s="62" t="s">
        <v>535</v>
      </c>
      <c r="B224" s="911" t="s">
        <v>536</v>
      </c>
      <c r="C224" s="912"/>
      <c r="D224" s="61"/>
    </row>
    <row r="225" spans="1:4" ht="24.6" customHeight="1" thickBot="1" x14ac:dyDescent="0.25">
      <c r="A225" s="62" t="s">
        <v>537</v>
      </c>
      <c r="B225" s="911" t="s">
        <v>538</v>
      </c>
      <c r="C225" s="912"/>
      <c r="D225" s="61"/>
    </row>
    <row r="226" spans="1:4" ht="24.6" customHeight="1" thickBot="1" x14ac:dyDescent="0.25">
      <c r="A226" s="62" t="s">
        <v>539</v>
      </c>
      <c r="B226" s="911" t="s">
        <v>540</v>
      </c>
      <c r="C226" s="912"/>
      <c r="D226" s="61"/>
    </row>
    <row r="227" spans="1:4" ht="24.6" customHeight="1" thickBot="1" x14ac:dyDescent="0.25">
      <c r="A227" s="62" t="s">
        <v>541</v>
      </c>
      <c r="B227" s="911" t="s">
        <v>542</v>
      </c>
      <c r="C227" s="912"/>
      <c r="D227" s="61"/>
    </row>
    <row r="228" spans="1:4" ht="24.6" customHeight="1" thickBot="1" x14ac:dyDescent="0.25">
      <c r="A228" s="62" t="s">
        <v>543</v>
      </c>
      <c r="B228" s="911" t="s">
        <v>544</v>
      </c>
      <c r="C228" s="912"/>
      <c r="D228" s="61"/>
    </row>
    <row r="229" spans="1:4" ht="24.6" customHeight="1" thickBot="1" x14ac:dyDescent="0.25">
      <c r="A229" s="62" t="s">
        <v>545</v>
      </c>
      <c r="B229" s="911" t="s">
        <v>546</v>
      </c>
      <c r="C229" s="912"/>
      <c r="D229" s="61"/>
    </row>
    <row r="230" spans="1:4" ht="24.6" customHeight="1" thickBot="1" x14ac:dyDescent="0.25">
      <c r="A230" s="62" t="s">
        <v>547</v>
      </c>
      <c r="B230" s="911" t="s">
        <v>548</v>
      </c>
      <c r="C230" s="912"/>
      <c r="D230" s="61"/>
    </row>
    <row r="231" spans="1:4" ht="24.6" customHeight="1" thickBot="1" x14ac:dyDescent="0.25">
      <c r="A231" s="72" t="s">
        <v>549</v>
      </c>
      <c r="B231" s="74"/>
      <c r="C231" s="73"/>
      <c r="D231" s="61"/>
    </row>
    <row r="232" spans="1:4" ht="24.6" customHeight="1" thickBot="1" x14ac:dyDescent="0.25">
      <c r="A232" s="75" t="s">
        <v>550</v>
      </c>
      <c r="B232" s="72" t="s">
        <v>551</v>
      </c>
      <c r="C232" s="73"/>
      <c r="D232" s="61"/>
    </row>
    <row r="233" spans="1:4" ht="24.6" customHeight="1" thickBot="1" x14ac:dyDescent="0.25">
      <c r="A233" s="75" t="s">
        <v>552</v>
      </c>
      <c r="B233" s="72" t="s">
        <v>334</v>
      </c>
      <c r="C233" s="73"/>
      <c r="D233" s="61"/>
    </row>
    <row r="234" spans="1:4" ht="24.6" customHeight="1" thickBot="1" x14ac:dyDescent="0.25">
      <c r="A234" s="75" t="s">
        <v>553</v>
      </c>
      <c r="B234" s="72" t="s">
        <v>554</v>
      </c>
      <c r="C234" s="73"/>
      <c r="D234" s="61"/>
    </row>
    <row r="235" spans="1:4" ht="24.6" customHeight="1" thickBot="1" x14ac:dyDescent="0.25">
      <c r="A235" s="75" t="s">
        <v>555</v>
      </c>
      <c r="B235" s="72" t="s">
        <v>556</v>
      </c>
      <c r="C235" s="73"/>
      <c r="D235" s="61"/>
    </row>
    <row r="236" spans="1:4" ht="24.6" customHeight="1" thickBot="1" x14ac:dyDescent="0.25">
      <c r="A236" s="75" t="s">
        <v>557</v>
      </c>
      <c r="B236" s="72" t="s">
        <v>558</v>
      </c>
      <c r="C236" s="73"/>
      <c r="D236" s="61"/>
    </row>
    <row r="237" spans="1:4" ht="24.6" customHeight="1" thickBot="1" x14ac:dyDescent="0.25">
      <c r="A237" s="75" t="s">
        <v>559</v>
      </c>
      <c r="B237" s="72" t="s">
        <v>560</v>
      </c>
      <c r="C237" s="73"/>
      <c r="D237" s="61"/>
    </row>
    <row r="238" spans="1:4" ht="24.6" customHeight="1" thickBot="1" x14ac:dyDescent="0.25">
      <c r="A238" s="911" t="s">
        <v>561</v>
      </c>
      <c r="B238" s="913"/>
      <c r="C238" s="912"/>
      <c r="D238" s="61"/>
    </row>
    <row r="239" spans="1:4" ht="24.6" customHeight="1" thickBot="1" x14ac:dyDescent="0.25">
      <c r="A239" s="62" t="s">
        <v>562</v>
      </c>
      <c r="B239" s="911" t="s">
        <v>563</v>
      </c>
      <c r="C239" s="912"/>
      <c r="D239" s="61"/>
    </row>
    <row r="240" spans="1:4" ht="24.6" customHeight="1" thickBot="1" x14ac:dyDescent="0.25">
      <c r="A240" s="62" t="s">
        <v>564</v>
      </c>
      <c r="B240" s="911" t="s">
        <v>565</v>
      </c>
      <c r="C240" s="912"/>
      <c r="D240" s="61"/>
    </row>
    <row r="241" spans="1:4" ht="24.6" customHeight="1" thickBot="1" x14ac:dyDescent="0.25">
      <c r="A241" s="62" t="s">
        <v>566</v>
      </c>
      <c r="B241" s="911" t="s">
        <v>567</v>
      </c>
      <c r="C241" s="912"/>
      <c r="D241" s="61"/>
    </row>
    <row r="242" spans="1:4" ht="24.6" customHeight="1" thickBot="1" x14ac:dyDescent="0.25">
      <c r="A242" s="62" t="s">
        <v>568</v>
      </c>
      <c r="B242" s="911" t="s">
        <v>569</v>
      </c>
      <c r="C242" s="912"/>
      <c r="D242" s="61"/>
    </row>
    <row r="243" spans="1:4" ht="24.6" customHeight="1" thickBot="1" x14ac:dyDescent="0.25">
      <c r="A243" s="62" t="s">
        <v>570</v>
      </c>
      <c r="B243" s="911" t="s">
        <v>571</v>
      </c>
      <c r="C243" s="912"/>
      <c r="D243" s="61"/>
    </row>
    <row r="244" spans="1:4" ht="24.6" customHeight="1" thickBot="1" x14ac:dyDescent="0.25">
      <c r="A244" s="62" t="s">
        <v>572</v>
      </c>
      <c r="B244" s="911" t="s">
        <v>573</v>
      </c>
      <c r="C244" s="912"/>
      <c r="D244" s="61"/>
    </row>
    <row r="245" spans="1:4" ht="24.6" customHeight="1" thickBot="1" x14ac:dyDescent="0.25">
      <c r="A245" s="911" t="s">
        <v>574</v>
      </c>
      <c r="B245" s="913"/>
      <c r="C245" s="912"/>
      <c r="D245" s="61"/>
    </row>
    <row r="246" spans="1:4" ht="24.6" customHeight="1" thickBot="1" x14ac:dyDescent="0.25">
      <c r="A246" s="62" t="s">
        <v>575</v>
      </c>
      <c r="B246" s="911" t="s">
        <v>576</v>
      </c>
      <c r="C246" s="912"/>
      <c r="D246" s="61"/>
    </row>
    <row r="247" spans="1:4" ht="24.6" customHeight="1" thickBot="1" x14ac:dyDescent="0.25">
      <c r="A247" s="62" t="s">
        <v>577</v>
      </c>
      <c r="B247" s="911" t="s">
        <v>578</v>
      </c>
      <c r="C247" s="912"/>
      <c r="D247" s="61"/>
    </row>
    <row r="248" spans="1:4" ht="24.6" customHeight="1" thickBot="1" x14ac:dyDescent="0.25">
      <c r="A248" s="911" t="s">
        <v>579</v>
      </c>
      <c r="B248" s="913"/>
      <c r="C248" s="912"/>
      <c r="D248" s="61"/>
    </row>
    <row r="249" spans="1:4" ht="24.6" customHeight="1" thickBot="1" x14ac:dyDescent="0.25">
      <c r="A249" s="62" t="s">
        <v>580</v>
      </c>
      <c r="B249" s="911" t="s">
        <v>581</v>
      </c>
      <c r="C249" s="912"/>
      <c r="D249" s="61"/>
    </row>
    <row r="250" spans="1:4" ht="24.6" customHeight="1" thickBot="1" x14ac:dyDescent="0.25">
      <c r="A250" s="62" t="s">
        <v>582</v>
      </c>
      <c r="B250" s="911" t="s">
        <v>583</v>
      </c>
      <c r="C250" s="912"/>
      <c r="D250" s="61"/>
    </row>
    <row r="251" spans="1:4" ht="24.6" customHeight="1" thickBot="1" x14ac:dyDescent="0.25">
      <c r="A251" s="911" t="s">
        <v>584</v>
      </c>
      <c r="B251" s="913"/>
      <c r="C251" s="912"/>
      <c r="D251" s="61"/>
    </row>
    <row r="252" spans="1:4" ht="24.6" customHeight="1" thickBot="1" x14ac:dyDescent="0.25">
      <c r="A252" s="62" t="s">
        <v>585</v>
      </c>
      <c r="B252" s="911" t="s">
        <v>586</v>
      </c>
      <c r="C252" s="912"/>
      <c r="D252" s="61"/>
    </row>
    <row r="253" spans="1:4" ht="24.6" customHeight="1" thickBot="1" x14ac:dyDescent="0.25">
      <c r="A253" s="62" t="s">
        <v>587</v>
      </c>
      <c r="B253" s="63" t="s">
        <v>588</v>
      </c>
      <c r="C253" s="61"/>
      <c r="D253" s="61"/>
    </row>
    <row r="254" spans="1:4" ht="24.6" customHeight="1" thickBot="1" x14ac:dyDescent="0.25">
      <c r="A254" s="911" t="s">
        <v>589</v>
      </c>
      <c r="B254" s="912"/>
      <c r="C254" s="61"/>
      <c r="D254" s="61"/>
    </row>
    <row r="255" spans="1:4" ht="24.6" customHeight="1" thickBot="1" x14ac:dyDescent="0.25">
      <c r="A255" s="62" t="s">
        <v>590</v>
      </c>
      <c r="B255" s="63" t="s">
        <v>591</v>
      </c>
      <c r="C255" s="61"/>
      <c r="D255" s="61"/>
    </row>
    <row r="256" spans="1:4" ht="24.6" customHeight="1" thickBot="1" x14ac:dyDescent="0.25">
      <c r="A256" s="62" t="s">
        <v>592</v>
      </c>
      <c r="B256" s="63" t="s">
        <v>593</v>
      </c>
      <c r="C256" s="61"/>
      <c r="D256" s="61"/>
    </row>
    <row r="257" spans="1:4" ht="24.6" customHeight="1" thickBot="1" x14ac:dyDescent="0.25">
      <c r="A257" s="62" t="s">
        <v>594</v>
      </c>
      <c r="B257" s="63" t="s">
        <v>595</v>
      </c>
      <c r="C257" s="61"/>
      <c r="D257" s="61"/>
    </row>
    <row r="258" spans="1:4" ht="24.6" customHeight="1" thickBot="1" x14ac:dyDescent="0.25">
      <c r="A258" s="62" t="s">
        <v>596</v>
      </c>
      <c r="B258" s="63" t="s">
        <v>597</v>
      </c>
      <c r="C258" s="61"/>
      <c r="D258" s="61"/>
    </row>
    <row r="259" spans="1:4" ht="24.6" customHeight="1" thickBot="1" x14ac:dyDescent="0.25">
      <c r="A259" s="62" t="s">
        <v>598</v>
      </c>
      <c r="B259" s="63" t="s">
        <v>599</v>
      </c>
      <c r="C259" s="61"/>
      <c r="D259" s="61"/>
    </row>
    <row r="260" spans="1:4" ht="24.6" customHeight="1" thickBot="1" x14ac:dyDescent="0.25">
      <c r="A260" s="62" t="s">
        <v>600</v>
      </c>
      <c r="B260" s="63" t="s">
        <v>601</v>
      </c>
      <c r="C260" s="61"/>
      <c r="D260" s="61"/>
    </row>
    <row r="261" spans="1:4" ht="24.6" customHeight="1" thickBot="1" x14ac:dyDescent="0.25">
      <c r="A261" s="62" t="s">
        <v>602</v>
      </c>
      <c r="B261" s="63" t="s">
        <v>603</v>
      </c>
      <c r="C261" s="61"/>
      <c r="D261" s="61"/>
    </row>
    <row r="262" spans="1:4" ht="24.6" customHeight="1" thickBot="1" x14ac:dyDescent="0.25">
      <c r="A262" s="62" t="s">
        <v>604</v>
      </c>
      <c r="B262" s="63" t="s">
        <v>605</v>
      </c>
      <c r="C262" s="61"/>
      <c r="D262" s="61"/>
    </row>
    <row r="263" spans="1:4" ht="24.6" customHeight="1" thickBot="1" x14ac:dyDescent="0.25">
      <c r="A263" s="62" t="s">
        <v>606</v>
      </c>
      <c r="B263" s="63" t="s">
        <v>607</v>
      </c>
      <c r="C263" s="61"/>
      <c r="D263" s="61"/>
    </row>
    <row r="264" spans="1:4" ht="24.6" customHeight="1" thickBot="1" x14ac:dyDescent="0.25">
      <c r="A264" s="62" t="s">
        <v>608</v>
      </c>
      <c r="B264" s="63" t="s">
        <v>609</v>
      </c>
      <c r="C264" s="61"/>
      <c r="D264" s="61"/>
    </row>
    <row r="265" spans="1:4" ht="24.6" customHeight="1" thickBot="1" x14ac:dyDescent="0.25">
      <c r="A265" s="62" t="s">
        <v>610</v>
      </c>
      <c r="B265" s="63" t="s">
        <v>611</v>
      </c>
      <c r="C265" s="61"/>
      <c r="D265" s="61"/>
    </row>
    <row r="266" spans="1:4" ht="24.6" customHeight="1" thickBot="1" x14ac:dyDescent="0.25">
      <c r="A266" s="62" t="s">
        <v>612</v>
      </c>
      <c r="B266" s="63" t="s">
        <v>613</v>
      </c>
      <c r="C266" s="61"/>
      <c r="D266" s="61"/>
    </row>
    <row r="267" spans="1:4" ht="24.6" customHeight="1" thickBot="1" x14ac:dyDescent="0.25">
      <c r="A267" s="62" t="s">
        <v>614</v>
      </c>
      <c r="B267" s="63" t="s">
        <v>615</v>
      </c>
      <c r="C267" s="61"/>
      <c r="D267" s="61"/>
    </row>
    <row r="268" spans="1:4" ht="24.6" customHeight="1" thickBot="1" x14ac:dyDescent="0.25">
      <c r="A268" s="62" t="s">
        <v>616</v>
      </c>
      <c r="B268" s="63" t="s">
        <v>617</v>
      </c>
      <c r="C268" s="61"/>
      <c r="D268" s="61"/>
    </row>
    <row r="269" spans="1:4" ht="24.6" customHeight="1" thickBot="1" x14ac:dyDescent="0.25">
      <c r="A269" s="911" t="s">
        <v>618</v>
      </c>
      <c r="B269" s="912"/>
      <c r="C269" s="61"/>
      <c r="D269" s="61"/>
    </row>
    <row r="270" spans="1:4" ht="24.6" customHeight="1" thickBot="1" x14ac:dyDescent="0.25">
      <c r="A270" s="62" t="s">
        <v>619</v>
      </c>
      <c r="B270" s="63" t="s">
        <v>620</v>
      </c>
      <c r="C270" s="61"/>
      <c r="D270" s="61"/>
    </row>
    <row r="271" spans="1:4" ht="24.6" customHeight="1" thickBot="1" x14ac:dyDescent="0.25">
      <c r="A271" s="62" t="s">
        <v>621</v>
      </c>
      <c r="B271" s="63" t="s">
        <v>622</v>
      </c>
      <c r="C271" s="61"/>
      <c r="D271" s="61"/>
    </row>
    <row r="272" spans="1:4" ht="24.6" customHeight="1" thickBot="1" x14ac:dyDescent="0.25">
      <c r="A272" s="62" t="s">
        <v>623</v>
      </c>
      <c r="B272" s="63" t="s">
        <v>624</v>
      </c>
      <c r="C272" s="61"/>
      <c r="D272" s="61"/>
    </row>
    <row r="273" spans="1:4" ht="24.6" customHeight="1" thickBot="1" x14ac:dyDescent="0.25">
      <c r="A273" s="62" t="s">
        <v>625</v>
      </c>
      <c r="B273" s="63" t="s">
        <v>626</v>
      </c>
      <c r="C273" s="61"/>
      <c r="D273" s="61"/>
    </row>
    <row r="274" spans="1:4" ht="24.6" customHeight="1" thickBot="1" x14ac:dyDescent="0.25">
      <c r="A274" s="62" t="s">
        <v>627</v>
      </c>
      <c r="B274" s="63" t="s">
        <v>628</v>
      </c>
      <c r="C274" s="61"/>
      <c r="D274" s="61"/>
    </row>
    <row r="275" spans="1:4" ht="24.6" customHeight="1" thickBot="1" x14ac:dyDescent="0.25">
      <c r="A275" s="62" t="s">
        <v>629</v>
      </c>
      <c r="B275" s="63" t="s">
        <v>630</v>
      </c>
      <c r="C275" s="61"/>
      <c r="D275" s="61"/>
    </row>
    <row r="276" spans="1:4" ht="24.6" customHeight="1" thickBot="1" x14ac:dyDescent="0.25">
      <c r="A276" s="62" t="s">
        <v>631</v>
      </c>
      <c r="B276" s="63" t="s">
        <v>632</v>
      </c>
      <c r="C276" s="61"/>
      <c r="D276" s="61"/>
    </row>
    <row r="277" spans="1:4" ht="24.6" customHeight="1" thickBot="1" x14ac:dyDescent="0.25">
      <c r="A277" s="62" t="s">
        <v>633</v>
      </c>
      <c r="B277" s="63" t="s">
        <v>634</v>
      </c>
      <c r="C277" s="61"/>
      <c r="D277" s="61"/>
    </row>
    <row r="278" spans="1:4" ht="24.6" customHeight="1" thickBot="1" x14ac:dyDescent="0.25">
      <c r="A278" s="911" t="s">
        <v>635</v>
      </c>
      <c r="B278" s="912"/>
      <c r="C278" s="61"/>
      <c r="D278" s="61"/>
    </row>
    <row r="279" spans="1:4" ht="24.6" customHeight="1" thickBot="1" x14ac:dyDescent="0.25">
      <c r="A279" s="62" t="s">
        <v>636</v>
      </c>
      <c r="B279" s="63" t="s">
        <v>637</v>
      </c>
      <c r="C279" s="61"/>
      <c r="D279" s="61"/>
    </row>
    <row r="280" spans="1:4" ht="24.6" customHeight="1" thickBot="1" x14ac:dyDescent="0.25">
      <c r="A280" s="62" t="s">
        <v>638</v>
      </c>
      <c r="B280" s="63" t="s">
        <v>639</v>
      </c>
      <c r="C280" s="61"/>
      <c r="D280" s="61"/>
    </row>
    <row r="281" spans="1:4" ht="24.6" customHeight="1" thickBot="1" x14ac:dyDescent="0.25">
      <c r="A281" s="62" t="s">
        <v>640</v>
      </c>
      <c r="B281" s="63" t="s">
        <v>641</v>
      </c>
      <c r="C281" s="61"/>
      <c r="D281" s="61"/>
    </row>
    <row r="282" spans="1:4" ht="24.6" customHeight="1" thickBot="1" x14ac:dyDescent="0.25">
      <c r="A282" s="62" t="s">
        <v>642</v>
      </c>
      <c r="B282" s="63" t="s">
        <v>643</v>
      </c>
      <c r="C282" s="61"/>
      <c r="D282" s="61"/>
    </row>
    <row r="283" spans="1:4" ht="24.6" customHeight="1" thickBot="1" x14ac:dyDescent="0.25">
      <c r="A283" s="62" t="s">
        <v>644</v>
      </c>
      <c r="B283" s="63" t="s">
        <v>645</v>
      </c>
      <c r="C283" s="61"/>
      <c r="D283" s="61"/>
    </row>
    <row r="284" spans="1:4" ht="24.6" customHeight="1" thickBot="1" x14ac:dyDescent="0.25">
      <c r="A284" s="62" t="s">
        <v>646</v>
      </c>
      <c r="B284" s="63" t="s">
        <v>647</v>
      </c>
      <c r="C284" s="61"/>
      <c r="D284" s="61"/>
    </row>
    <row r="285" spans="1:4" ht="24.6" customHeight="1" thickBot="1" x14ac:dyDescent="0.25">
      <c r="A285" s="911" t="s">
        <v>648</v>
      </c>
      <c r="B285" s="912"/>
      <c r="C285" s="61"/>
      <c r="D285" s="61"/>
    </row>
    <row r="286" spans="1:4" ht="24.6" customHeight="1" thickBot="1" x14ac:dyDescent="0.25">
      <c r="A286" s="62" t="s">
        <v>649</v>
      </c>
      <c r="B286" s="63" t="s">
        <v>650</v>
      </c>
      <c r="C286" s="61"/>
      <c r="D286" s="61"/>
    </row>
    <row r="287" spans="1:4" ht="24.6" customHeight="1" thickBot="1" x14ac:dyDescent="0.25">
      <c r="A287" s="62" t="s">
        <v>651</v>
      </c>
      <c r="B287" s="63" t="s">
        <v>652</v>
      </c>
      <c r="C287" s="61"/>
      <c r="D287" s="61"/>
    </row>
    <row r="288" spans="1:4" ht="24.6" customHeight="1" thickBot="1" x14ac:dyDescent="0.25">
      <c r="A288" s="62" t="s">
        <v>653</v>
      </c>
      <c r="B288" s="63" t="s">
        <v>654</v>
      </c>
      <c r="C288" s="61"/>
      <c r="D288" s="61"/>
    </row>
    <row r="289" spans="1:4" ht="24.6" customHeight="1" thickBot="1" x14ac:dyDescent="0.25">
      <c r="A289" s="62" t="s">
        <v>655</v>
      </c>
      <c r="B289" s="63" t="s">
        <v>656</v>
      </c>
      <c r="C289" s="61"/>
      <c r="D289" s="61"/>
    </row>
    <row r="290" spans="1:4" ht="24.6" customHeight="1" thickBot="1" x14ac:dyDescent="0.25">
      <c r="A290" s="62" t="s">
        <v>657</v>
      </c>
      <c r="B290" s="63" t="s">
        <v>658</v>
      </c>
      <c r="C290" s="61"/>
      <c r="D290" s="61"/>
    </row>
    <row r="291" spans="1:4" ht="24.6" customHeight="1" thickBot="1" x14ac:dyDescent="0.25">
      <c r="A291" s="62" t="s">
        <v>659</v>
      </c>
      <c r="B291" s="63" t="s">
        <v>660</v>
      </c>
      <c r="C291" s="61"/>
      <c r="D291" s="61"/>
    </row>
    <row r="292" spans="1:4" ht="24.6" customHeight="1" thickBot="1" x14ac:dyDescent="0.25">
      <c r="A292" s="62" t="s">
        <v>661</v>
      </c>
      <c r="B292" s="63" t="s">
        <v>662</v>
      </c>
      <c r="C292" s="61"/>
      <c r="D292" s="61"/>
    </row>
    <row r="293" spans="1:4" ht="24.6" customHeight="1" thickBot="1" x14ac:dyDescent="0.25">
      <c r="A293" s="62" t="s">
        <v>663</v>
      </c>
      <c r="B293" s="63" t="s">
        <v>664</v>
      </c>
      <c r="C293" s="61"/>
      <c r="D293" s="61"/>
    </row>
    <row r="294" spans="1:4" ht="24.6" customHeight="1" thickBot="1" x14ac:dyDescent="0.25">
      <c r="A294" s="62" t="s">
        <v>665</v>
      </c>
      <c r="B294" s="63" t="s">
        <v>666</v>
      </c>
      <c r="C294" s="61"/>
      <c r="D294" s="61"/>
    </row>
    <row r="295" spans="1:4" ht="24.6" customHeight="1" thickBot="1" x14ac:dyDescent="0.25">
      <c r="A295" s="62" t="s">
        <v>667</v>
      </c>
      <c r="B295" s="63" t="s">
        <v>668</v>
      </c>
      <c r="C295" s="61"/>
      <c r="D295" s="61"/>
    </row>
    <row r="296" spans="1:4" ht="24.6" customHeight="1" thickBot="1" x14ac:dyDescent="0.25">
      <c r="A296" s="62" t="s">
        <v>669</v>
      </c>
      <c r="B296" s="63" t="s">
        <v>670</v>
      </c>
      <c r="C296" s="61"/>
      <c r="D296" s="61"/>
    </row>
    <row r="297" spans="1:4" ht="24.6" customHeight="1" thickBot="1" x14ac:dyDescent="0.25">
      <c r="A297" s="62" t="s">
        <v>671</v>
      </c>
      <c r="B297" s="63" t="s">
        <v>672</v>
      </c>
      <c r="C297" s="61"/>
      <c r="D297" s="61"/>
    </row>
    <row r="298" spans="1:4" ht="24.6" customHeight="1" thickBot="1" x14ac:dyDescent="0.25">
      <c r="A298" s="62" t="s">
        <v>673</v>
      </c>
      <c r="B298" s="63" t="s">
        <v>674</v>
      </c>
      <c r="C298" s="61"/>
      <c r="D298" s="61"/>
    </row>
    <row r="299" spans="1:4" ht="24.6" customHeight="1" thickBot="1" x14ac:dyDescent="0.25">
      <c r="A299" s="62" t="s">
        <v>675</v>
      </c>
      <c r="B299" s="63" t="s">
        <v>676</v>
      </c>
      <c r="C299" s="61"/>
      <c r="D299" s="61"/>
    </row>
    <row r="300" spans="1:4" ht="24.6" customHeight="1" thickBot="1" x14ac:dyDescent="0.25">
      <c r="A300" s="62" t="s">
        <v>677</v>
      </c>
      <c r="B300" s="63" t="s">
        <v>678</v>
      </c>
      <c r="C300" s="61"/>
      <c r="D300" s="61"/>
    </row>
    <row r="301" spans="1:4" ht="24.6" customHeight="1" thickBot="1" x14ac:dyDescent="0.25">
      <c r="A301" s="62" t="s">
        <v>679</v>
      </c>
      <c r="B301" s="63" t="s">
        <v>680</v>
      </c>
      <c r="C301" s="61"/>
      <c r="D301" s="61"/>
    </row>
    <row r="302" spans="1:4" ht="24.6" customHeight="1" thickBot="1" x14ac:dyDescent="0.25">
      <c r="A302" s="62" t="s">
        <v>681</v>
      </c>
      <c r="B302" s="63" t="s">
        <v>682</v>
      </c>
      <c r="C302" s="61"/>
      <c r="D302" s="61"/>
    </row>
    <row r="303" spans="1:4" ht="24.6" customHeight="1" thickBot="1" x14ac:dyDescent="0.25">
      <c r="A303" s="62" t="s">
        <v>683</v>
      </c>
      <c r="B303" s="63" t="s">
        <v>684</v>
      </c>
      <c r="C303" s="61"/>
      <c r="D303" s="61"/>
    </row>
    <row r="304" spans="1:4" ht="24.6" customHeight="1" thickBot="1" x14ac:dyDescent="0.25">
      <c r="A304" s="62" t="s">
        <v>685</v>
      </c>
      <c r="B304" s="63" t="s">
        <v>686</v>
      </c>
      <c r="C304" s="61"/>
      <c r="D304" s="61"/>
    </row>
    <row r="305" spans="1:4" ht="24.6" customHeight="1" thickBot="1" x14ac:dyDescent="0.25">
      <c r="A305" s="62" t="s">
        <v>687</v>
      </c>
      <c r="B305" s="63" t="s">
        <v>688</v>
      </c>
      <c r="C305" s="61"/>
      <c r="D305" s="61"/>
    </row>
    <row r="306" spans="1:4" ht="24.6" customHeight="1" thickBot="1" x14ac:dyDescent="0.25">
      <c r="A306" s="62" t="s">
        <v>689</v>
      </c>
      <c r="B306" s="63" t="s">
        <v>690</v>
      </c>
      <c r="C306" s="61"/>
      <c r="D306" s="61"/>
    </row>
    <row r="307" spans="1:4" ht="24.6" customHeight="1" thickBot="1" x14ac:dyDescent="0.25">
      <c r="A307" s="62" t="s">
        <v>691</v>
      </c>
      <c r="B307" s="63" t="s">
        <v>692</v>
      </c>
      <c r="C307" s="61"/>
      <c r="D307" s="61"/>
    </row>
    <row r="308" spans="1:4" ht="24.6" customHeight="1" thickBot="1" x14ac:dyDescent="0.25">
      <c r="A308" s="62" t="s">
        <v>693</v>
      </c>
      <c r="B308" s="63" t="s">
        <v>694</v>
      </c>
      <c r="C308" s="61"/>
      <c r="D308" s="61"/>
    </row>
    <row r="309" spans="1:4" ht="24.6" customHeight="1" thickBot="1" x14ac:dyDescent="0.25">
      <c r="A309" s="62" t="s">
        <v>695</v>
      </c>
      <c r="B309" s="63" t="s">
        <v>696</v>
      </c>
      <c r="C309" s="61"/>
      <c r="D309" s="61"/>
    </row>
    <row r="310" spans="1:4" ht="24.6" customHeight="1" thickBot="1" x14ac:dyDescent="0.25">
      <c r="A310" s="62" t="s">
        <v>697</v>
      </c>
      <c r="B310" s="63" t="s">
        <v>698</v>
      </c>
      <c r="C310" s="61"/>
      <c r="D310" s="61"/>
    </row>
    <row r="311" spans="1:4" ht="24.6" customHeight="1" thickBot="1" x14ac:dyDescent="0.25">
      <c r="A311" s="62" t="s">
        <v>699</v>
      </c>
      <c r="B311" s="63" t="s">
        <v>700</v>
      </c>
      <c r="C311" s="61"/>
      <c r="D311" s="61"/>
    </row>
    <row r="312" spans="1:4" ht="24.6" customHeight="1" thickBot="1" x14ac:dyDescent="0.25">
      <c r="A312" s="62" t="s">
        <v>701</v>
      </c>
      <c r="B312" s="63" t="s">
        <v>702</v>
      </c>
      <c r="C312" s="61"/>
      <c r="D312" s="61"/>
    </row>
    <row r="313" spans="1:4" ht="24.6" customHeight="1" thickBot="1" x14ac:dyDescent="0.25">
      <c r="A313" s="62" t="s">
        <v>703</v>
      </c>
      <c r="B313" s="63" t="s">
        <v>704</v>
      </c>
      <c r="C313" s="61"/>
      <c r="D313" s="61"/>
    </row>
    <row r="314" spans="1:4" ht="24.6" customHeight="1" thickBot="1" x14ac:dyDescent="0.25">
      <c r="A314" s="62" t="s">
        <v>705</v>
      </c>
      <c r="B314" s="63" t="s">
        <v>706</v>
      </c>
      <c r="C314" s="61"/>
      <c r="D314" s="61"/>
    </row>
    <row r="315" spans="1:4" ht="24.6" customHeight="1" thickBot="1" x14ac:dyDescent="0.25">
      <c r="A315" s="911" t="s">
        <v>707</v>
      </c>
      <c r="B315" s="912"/>
      <c r="C315" s="61"/>
      <c r="D315" s="61"/>
    </row>
    <row r="316" spans="1:4" ht="24.6" customHeight="1" thickBot="1" x14ac:dyDescent="0.25">
      <c r="A316" s="62" t="s">
        <v>708</v>
      </c>
      <c r="B316" s="63" t="s">
        <v>709</v>
      </c>
      <c r="C316" s="61"/>
      <c r="D316" s="61"/>
    </row>
    <row r="317" spans="1:4" ht="24.6" customHeight="1" thickBot="1" x14ac:dyDescent="0.25">
      <c r="A317" s="62" t="s">
        <v>710</v>
      </c>
      <c r="B317" s="63" t="s">
        <v>711</v>
      </c>
      <c r="C317" s="61"/>
      <c r="D317" s="61"/>
    </row>
    <row r="318" spans="1:4" ht="24.6" customHeight="1" thickBot="1" x14ac:dyDescent="0.25">
      <c r="A318" s="62" t="s">
        <v>712</v>
      </c>
      <c r="B318" s="63" t="s">
        <v>713</v>
      </c>
      <c r="C318" s="61"/>
      <c r="D318" s="61"/>
    </row>
    <row r="319" spans="1:4" ht="24.6" customHeight="1" thickBot="1" x14ac:dyDescent="0.25">
      <c r="A319" s="62" t="s">
        <v>714</v>
      </c>
      <c r="B319" s="63" t="s">
        <v>715</v>
      </c>
      <c r="C319" s="61"/>
      <c r="D319" s="61"/>
    </row>
    <row r="320" spans="1:4" ht="24.6" customHeight="1" thickBot="1" x14ac:dyDescent="0.25">
      <c r="A320" s="62" t="s">
        <v>716</v>
      </c>
      <c r="B320" s="63" t="s">
        <v>717</v>
      </c>
      <c r="C320" s="61"/>
      <c r="D320" s="61"/>
    </row>
    <row r="321" spans="1:4" ht="24.6" customHeight="1" thickBot="1" x14ac:dyDescent="0.25">
      <c r="A321" s="62" t="s">
        <v>718</v>
      </c>
      <c r="B321" s="63" t="s">
        <v>719</v>
      </c>
      <c r="C321" s="61"/>
      <c r="D321" s="61"/>
    </row>
    <row r="322" spans="1:4" ht="24.6" customHeight="1" thickBot="1" x14ac:dyDescent="0.25">
      <c r="A322" s="62" t="s">
        <v>720</v>
      </c>
      <c r="B322" s="63" t="s">
        <v>721</v>
      </c>
      <c r="C322" s="61"/>
      <c r="D322" s="61"/>
    </row>
    <row r="323" spans="1:4" ht="24.6" customHeight="1" thickBot="1" x14ac:dyDescent="0.25">
      <c r="A323" s="911" t="s">
        <v>722</v>
      </c>
      <c r="B323" s="912"/>
      <c r="C323" s="61"/>
      <c r="D323" s="61"/>
    </row>
    <row r="324" spans="1:4" ht="24.6" customHeight="1" thickBot="1" x14ac:dyDescent="0.25">
      <c r="A324" s="62" t="s">
        <v>723</v>
      </c>
      <c r="B324" s="63" t="s">
        <v>724</v>
      </c>
      <c r="C324" s="61"/>
      <c r="D324" s="61"/>
    </row>
    <row r="325" spans="1:4" ht="24.6" customHeight="1" thickBot="1" x14ac:dyDescent="0.25">
      <c r="A325" s="62" t="s">
        <v>725</v>
      </c>
      <c r="B325" s="63" t="s">
        <v>726</v>
      </c>
      <c r="C325" s="61"/>
      <c r="D325" s="61"/>
    </row>
    <row r="326" spans="1:4" ht="24.6" customHeight="1" thickBot="1" x14ac:dyDescent="0.25">
      <c r="A326" s="62" t="s">
        <v>727</v>
      </c>
      <c r="B326" s="63" t="s">
        <v>728</v>
      </c>
      <c r="C326" s="61"/>
      <c r="D326" s="61"/>
    </row>
    <row r="327" spans="1:4" ht="24.6" customHeight="1" thickBot="1" x14ac:dyDescent="0.25">
      <c r="A327" s="62" t="s">
        <v>729</v>
      </c>
      <c r="B327" s="63" t="s">
        <v>730</v>
      </c>
      <c r="C327" s="61"/>
      <c r="D327" s="61"/>
    </row>
    <row r="328" spans="1:4" ht="24.6" customHeight="1" thickBot="1" x14ac:dyDescent="0.25">
      <c r="A328" s="62" t="s">
        <v>731</v>
      </c>
      <c r="B328" s="63" t="s">
        <v>732</v>
      </c>
      <c r="C328" s="61"/>
      <c r="D328" s="61"/>
    </row>
    <row r="329" spans="1:4" ht="24.6" customHeight="1" thickBot="1" x14ac:dyDescent="0.25">
      <c r="A329" s="62" t="s">
        <v>733</v>
      </c>
      <c r="B329" s="63" t="s">
        <v>556</v>
      </c>
      <c r="C329" s="61"/>
      <c r="D329" s="61"/>
    </row>
    <row r="330" spans="1:4" ht="24.6" customHeight="1" thickBot="1" x14ac:dyDescent="0.25">
      <c r="A330" s="62" t="s">
        <v>734</v>
      </c>
      <c r="B330" s="63" t="s">
        <v>735</v>
      </c>
      <c r="C330" s="61"/>
      <c r="D330" s="61"/>
    </row>
    <row r="331" spans="1:4" ht="24.6" customHeight="1" thickBot="1" x14ac:dyDescent="0.25">
      <c r="A331" s="911" t="s">
        <v>736</v>
      </c>
      <c r="B331" s="912"/>
      <c r="C331" s="61"/>
      <c r="D331" s="61"/>
    </row>
    <row r="332" spans="1:4" ht="24.6" customHeight="1" thickBot="1" x14ac:dyDescent="0.25">
      <c r="A332" s="62" t="s">
        <v>737</v>
      </c>
      <c r="B332" s="63" t="s">
        <v>738</v>
      </c>
      <c r="C332" s="61"/>
      <c r="D332" s="61"/>
    </row>
    <row r="333" spans="1:4" ht="24.6" customHeight="1" thickBot="1" x14ac:dyDescent="0.25">
      <c r="A333" s="911" t="s">
        <v>739</v>
      </c>
      <c r="B333" s="912"/>
      <c r="C333" s="61"/>
      <c r="D333" s="61"/>
    </row>
    <row r="334" spans="1:4" ht="24.6" customHeight="1" thickBot="1" x14ac:dyDescent="0.25">
      <c r="A334" s="62" t="s">
        <v>740</v>
      </c>
      <c r="B334" s="63" t="s">
        <v>741</v>
      </c>
      <c r="C334" s="61"/>
      <c r="D334" s="61"/>
    </row>
    <row r="335" spans="1:4" ht="24.6" customHeight="1" thickBot="1" x14ac:dyDescent="0.25">
      <c r="A335" s="62" t="s">
        <v>742</v>
      </c>
      <c r="B335" s="63" t="s">
        <v>743</v>
      </c>
      <c r="C335" s="61"/>
      <c r="D335" s="61"/>
    </row>
    <row r="336" spans="1:4" ht="24.6" customHeight="1" thickBot="1" x14ac:dyDescent="0.25">
      <c r="A336" s="62" t="s">
        <v>744</v>
      </c>
      <c r="B336" s="63" t="s">
        <v>745</v>
      </c>
      <c r="C336" s="61"/>
      <c r="D336" s="61"/>
    </row>
    <row r="337" spans="1:4" ht="24.6" customHeight="1" thickBot="1" x14ac:dyDescent="0.25">
      <c r="A337" s="62" t="s">
        <v>746</v>
      </c>
      <c r="B337" s="63" t="s">
        <v>747</v>
      </c>
      <c r="C337" s="61"/>
      <c r="D337" s="61"/>
    </row>
    <row r="338" spans="1:4" ht="24.6" customHeight="1" thickBot="1" x14ac:dyDescent="0.25">
      <c r="A338" s="62" t="s">
        <v>748</v>
      </c>
      <c r="B338" s="63" t="s">
        <v>749</v>
      </c>
      <c r="C338" s="61"/>
      <c r="D338" s="61"/>
    </row>
    <row r="339" spans="1:4" ht="24.6" customHeight="1" thickBot="1" x14ac:dyDescent="0.25">
      <c r="A339" s="62" t="s">
        <v>750</v>
      </c>
      <c r="B339" s="63" t="s">
        <v>751</v>
      </c>
      <c r="C339" s="61"/>
      <c r="D339" s="61"/>
    </row>
    <row r="340" spans="1:4" ht="24.6" customHeight="1" thickBot="1" x14ac:dyDescent="0.25">
      <c r="A340" s="911" t="s">
        <v>752</v>
      </c>
      <c r="B340" s="912"/>
      <c r="C340" s="61"/>
      <c r="D340" s="61"/>
    </row>
    <row r="341" spans="1:4" ht="24.6" customHeight="1" thickBot="1" x14ac:dyDescent="0.25">
      <c r="A341" s="62" t="s">
        <v>753</v>
      </c>
      <c r="B341" s="63" t="s">
        <v>754</v>
      </c>
      <c r="C341" s="61"/>
      <c r="D341" s="61"/>
    </row>
    <row r="342" spans="1:4" ht="24.6" customHeight="1" thickBot="1" x14ac:dyDescent="0.25">
      <c r="A342" s="911" t="s">
        <v>755</v>
      </c>
      <c r="B342" s="912"/>
      <c r="C342" s="61"/>
      <c r="D342" s="61"/>
    </row>
    <row r="343" spans="1:4" ht="24.6" customHeight="1" thickBot="1" x14ac:dyDescent="0.25">
      <c r="A343" s="62" t="s">
        <v>756</v>
      </c>
      <c r="B343" s="63" t="s">
        <v>563</v>
      </c>
      <c r="C343" s="61"/>
      <c r="D343" s="61"/>
    </row>
    <row r="344" spans="1:4" ht="24.6" customHeight="1" thickBot="1" x14ac:dyDescent="0.25">
      <c r="A344" s="62" t="s">
        <v>757</v>
      </c>
      <c r="B344" s="63" t="s">
        <v>758</v>
      </c>
      <c r="C344" s="61"/>
      <c r="D344" s="61"/>
    </row>
    <row r="345" spans="1:4" ht="24.6" customHeight="1" thickBot="1" x14ac:dyDescent="0.25">
      <c r="A345" s="62" t="s">
        <v>759</v>
      </c>
      <c r="B345" s="63" t="s">
        <v>760</v>
      </c>
      <c r="C345" s="61"/>
      <c r="D345" s="61"/>
    </row>
    <row r="346" spans="1:4" ht="24.6" customHeight="1" thickBot="1" x14ac:dyDescent="0.25">
      <c r="A346" s="62" t="s">
        <v>761</v>
      </c>
      <c r="B346" s="63" t="s">
        <v>762</v>
      </c>
      <c r="C346" s="61"/>
      <c r="D346" s="61"/>
    </row>
    <row r="347" spans="1:4" ht="24.6" customHeight="1" thickBot="1" x14ac:dyDescent="0.25">
      <c r="A347" s="911" t="s">
        <v>763</v>
      </c>
      <c r="B347" s="912"/>
      <c r="C347" s="61"/>
      <c r="D347" s="61"/>
    </row>
    <row r="348" spans="1:4" ht="24.6" customHeight="1" thickBot="1" x14ac:dyDescent="0.25">
      <c r="A348" s="62" t="s">
        <v>764</v>
      </c>
      <c r="B348" s="63" t="s">
        <v>765</v>
      </c>
      <c r="C348" s="61"/>
      <c r="D348" s="61"/>
    </row>
    <row r="349" spans="1:4" ht="24.6" customHeight="1" thickBot="1" x14ac:dyDescent="0.25">
      <c r="A349" s="62" t="s">
        <v>766</v>
      </c>
      <c r="B349" s="63" t="s">
        <v>767</v>
      </c>
      <c r="C349" s="61"/>
      <c r="D349" s="61"/>
    </row>
    <row r="350" spans="1:4" ht="24.6" customHeight="1" thickBot="1" x14ac:dyDescent="0.25">
      <c r="A350" s="62" t="s">
        <v>768</v>
      </c>
      <c r="B350" s="63" t="s">
        <v>769</v>
      </c>
      <c r="C350" s="61"/>
      <c r="D350" s="61"/>
    </row>
    <row r="351" spans="1:4" ht="24.6" customHeight="1" thickBot="1" x14ac:dyDescent="0.25">
      <c r="A351" s="62" t="s">
        <v>770</v>
      </c>
      <c r="B351" s="63" t="s">
        <v>771</v>
      </c>
      <c r="C351" s="61"/>
      <c r="D351" s="61"/>
    </row>
    <row r="352" spans="1:4" ht="24.6" customHeight="1" thickBot="1" x14ac:dyDescent="0.25">
      <c r="A352" s="62" t="s">
        <v>772</v>
      </c>
      <c r="B352" s="63" t="s">
        <v>773</v>
      </c>
      <c r="C352" s="61"/>
      <c r="D352" s="61"/>
    </row>
    <row r="353" spans="1:4" ht="24.6" customHeight="1" thickBot="1" x14ac:dyDescent="0.25">
      <c r="A353" s="62" t="s">
        <v>774</v>
      </c>
      <c r="B353" s="63" t="s">
        <v>775</v>
      </c>
      <c r="C353" s="61"/>
      <c r="D353" s="61"/>
    </row>
    <row r="354" spans="1:4" ht="24.6" customHeight="1" thickBot="1" x14ac:dyDescent="0.25">
      <c r="A354" s="62" t="s">
        <v>776</v>
      </c>
      <c r="B354" s="63" t="s">
        <v>777</v>
      </c>
      <c r="C354" s="61"/>
      <c r="D354" s="61"/>
    </row>
    <row r="355" spans="1:4" ht="24.6" customHeight="1" thickBot="1" x14ac:dyDescent="0.25">
      <c r="A355" s="62" t="s">
        <v>778</v>
      </c>
      <c r="B355" s="63" t="s">
        <v>779</v>
      </c>
      <c r="C355" s="61"/>
      <c r="D355" s="61"/>
    </row>
    <row r="356" spans="1:4" ht="24.6" customHeight="1" thickBot="1" x14ac:dyDescent="0.25">
      <c r="A356" s="62" t="s">
        <v>780</v>
      </c>
      <c r="B356" s="63" t="s">
        <v>781</v>
      </c>
      <c r="C356" s="61"/>
      <c r="D356" s="61"/>
    </row>
    <row r="357" spans="1:4" ht="24.6" customHeight="1" thickBot="1" x14ac:dyDescent="0.25">
      <c r="A357" s="62" t="s">
        <v>782</v>
      </c>
      <c r="B357" s="63" t="s">
        <v>783</v>
      </c>
      <c r="C357" s="61"/>
      <c r="D357" s="61"/>
    </row>
    <row r="358" spans="1:4" ht="24.6" customHeight="1" thickBot="1" x14ac:dyDescent="0.25">
      <c r="A358" s="911" t="s">
        <v>784</v>
      </c>
      <c r="B358" s="912"/>
      <c r="C358" s="61"/>
      <c r="D358" s="61"/>
    </row>
    <row r="359" spans="1:4" ht="24.6" customHeight="1" thickBot="1" x14ac:dyDescent="0.25">
      <c r="A359" s="62" t="s">
        <v>785</v>
      </c>
      <c r="B359" s="63" t="s">
        <v>786</v>
      </c>
      <c r="C359" s="61"/>
      <c r="D359" s="61"/>
    </row>
    <row r="360" spans="1:4" ht="24.6" customHeight="1" thickBot="1" x14ac:dyDescent="0.25">
      <c r="A360" s="62" t="s">
        <v>787</v>
      </c>
      <c r="B360" s="63" t="s">
        <v>788</v>
      </c>
      <c r="C360" s="61"/>
      <c r="D360" s="61"/>
    </row>
    <row r="361" spans="1:4" ht="24.6" customHeight="1" thickBot="1" x14ac:dyDescent="0.25">
      <c r="A361" s="62" t="s">
        <v>789</v>
      </c>
      <c r="B361" s="63" t="s">
        <v>790</v>
      </c>
      <c r="C361" s="61"/>
      <c r="D361" s="61"/>
    </row>
    <row r="362" spans="1:4" ht="24.6" customHeight="1" thickBot="1" x14ac:dyDescent="0.25">
      <c r="A362" s="62" t="s">
        <v>791</v>
      </c>
      <c r="B362" s="63" t="s">
        <v>792</v>
      </c>
      <c r="C362" s="61"/>
      <c r="D362" s="61"/>
    </row>
    <row r="363" spans="1:4" ht="24.6" customHeight="1" thickBot="1" x14ac:dyDescent="0.25">
      <c r="A363" s="62" t="s">
        <v>793</v>
      </c>
      <c r="B363" s="63" t="s">
        <v>794</v>
      </c>
      <c r="C363" s="61"/>
      <c r="D363" s="61"/>
    </row>
    <row r="364" spans="1:4" ht="24.6" customHeight="1" thickBot="1" x14ac:dyDescent="0.25">
      <c r="A364" s="62" t="s">
        <v>795</v>
      </c>
      <c r="B364" s="63" t="s">
        <v>796</v>
      </c>
      <c r="C364" s="61"/>
      <c r="D364" s="61"/>
    </row>
    <row r="365" spans="1:4" ht="24.6" customHeight="1" thickBot="1" x14ac:dyDescent="0.25">
      <c r="A365" s="62" t="s">
        <v>797</v>
      </c>
      <c r="B365" s="63" t="s">
        <v>798</v>
      </c>
      <c r="C365" s="61"/>
      <c r="D365" s="61"/>
    </row>
    <row r="366" spans="1:4" ht="24.6" customHeight="1" thickBot="1" x14ac:dyDescent="0.25">
      <c r="A366" s="62" t="s">
        <v>799</v>
      </c>
      <c r="B366" s="63" t="s">
        <v>800</v>
      </c>
      <c r="C366" s="61"/>
      <c r="D366" s="61"/>
    </row>
    <row r="367" spans="1:4" ht="24.6" customHeight="1" thickBot="1" x14ac:dyDescent="0.25">
      <c r="A367" s="62" t="s">
        <v>801</v>
      </c>
      <c r="B367" s="63" t="s">
        <v>802</v>
      </c>
      <c r="C367" s="61"/>
      <c r="D367" s="61"/>
    </row>
    <row r="368" spans="1:4" ht="24.6" customHeight="1" thickBot="1" x14ac:dyDescent="0.25">
      <c r="A368" s="62" t="s">
        <v>803</v>
      </c>
      <c r="B368" s="63" t="s">
        <v>804</v>
      </c>
      <c r="C368" s="61"/>
      <c r="D368" s="61"/>
    </row>
    <row r="369" spans="1:4" ht="24.6" customHeight="1" thickBot="1" x14ac:dyDescent="0.25">
      <c r="A369" s="62" t="s">
        <v>805</v>
      </c>
      <c r="B369" s="63" t="s">
        <v>806</v>
      </c>
      <c r="C369" s="61"/>
      <c r="D369" s="61"/>
    </row>
    <row r="370" spans="1:4" ht="24.6" customHeight="1" thickBot="1" x14ac:dyDescent="0.25">
      <c r="A370" s="62" t="s">
        <v>807</v>
      </c>
      <c r="B370" s="63" t="s">
        <v>808</v>
      </c>
      <c r="C370" s="61"/>
      <c r="D370" s="61"/>
    </row>
    <row r="371" spans="1:4" ht="24.6" customHeight="1" thickBot="1" x14ac:dyDescent="0.25">
      <c r="A371" s="62" t="s">
        <v>809</v>
      </c>
      <c r="B371" s="63" t="s">
        <v>810</v>
      </c>
      <c r="C371" s="61"/>
      <c r="D371" s="61"/>
    </row>
    <row r="372" spans="1:4" ht="24.6" customHeight="1" thickBot="1" x14ac:dyDescent="0.25">
      <c r="A372" s="62" t="s">
        <v>811</v>
      </c>
      <c r="B372" s="63" t="s">
        <v>812</v>
      </c>
      <c r="C372" s="61"/>
      <c r="D372" s="61"/>
    </row>
    <row r="373" spans="1:4" ht="24.6" customHeight="1" thickBot="1" x14ac:dyDescent="0.25">
      <c r="A373" s="911" t="s">
        <v>813</v>
      </c>
      <c r="B373" s="912"/>
      <c r="C373" s="61"/>
      <c r="D373" s="61"/>
    </row>
    <row r="374" spans="1:4" ht="24.6" customHeight="1" thickBot="1" x14ac:dyDescent="0.25">
      <c r="A374" s="62" t="s">
        <v>814</v>
      </c>
      <c r="B374" s="63" t="s">
        <v>815</v>
      </c>
      <c r="C374" s="61"/>
      <c r="D374" s="61"/>
    </row>
    <row r="375" spans="1:4" ht="24.6" customHeight="1" thickBot="1" x14ac:dyDescent="0.25">
      <c r="A375" s="62" t="s">
        <v>816</v>
      </c>
      <c r="B375" s="63" t="s">
        <v>817</v>
      </c>
      <c r="C375" s="61"/>
      <c r="D375" s="61"/>
    </row>
    <row r="376" spans="1:4" ht="24.6" customHeight="1" thickBot="1" x14ac:dyDescent="0.25">
      <c r="A376" s="62" t="s">
        <v>818</v>
      </c>
      <c r="B376" s="63" t="s">
        <v>819</v>
      </c>
      <c r="C376" s="61"/>
      <c r="D376" s="61"/>
    </row>
    <row r="377" spans="1:4" ht="24.6" customHeight="1" thickBot="1" x14ac:dyDescent="0.25">
      <c r="A377" s="62" t="s">
        <v>820</v>
      </c>
      <c r="B377" s="63" t="s">
        <v>821</v>
      </c>
      <c r="C377" s="61"/>
      <c r="D377" s="61"/>
    </row>
    <row r="378" spans="1:4" ht="24.6" customHeight="1" thickBot="1" x14ac:dyDescent="0.25">
      <c r="A378" s="62" t="s">
        <v>822</v>
      </c>
      <c r="B378" s="63" t="s">
        <v>823</v>
      </c>
      <c r="C378" s="61"/>
      <c r="D378" s="61"/>
    </row>
    <row r="379" spans="1:4" ht="24.6" customHeight="1" thickBot="1" x14ac:dyDescent="0.25">
      <c r="A379" s="62" t="s">
        <v>824</v>
      </c>
      <c r="B379" s="63" t="s">
        <v>825</v>
      </c>
      <c r="C379" s="61"/>
      <c r="D379" s="61"/>
    </row>
    <row r="380" spans="1:4" ht="24.6" customHeight="1" thickBot="1" x14ac:dyDescent="0.25">
      <c r="A380" s="62" t="s">
        <v>826</v>
      </c>
      <c r="B380" s="63" t="s">
        <v>827</v>
      </c>
      <c r="C380" s="61"/>
      <c r="D380" s="61"/>
    </row>
    <row r="381" spans="1:4" ht="24.6" customHeight="1" thickBot="1" x14ac:dyDescent="0.25">
      <c r="A381" s="62" t="s">
        <v>828</v>
      </c>
      <c r="B381" s="63" t="s">
        <v>829</v>
      </c>
      <c r="C381" s="61"/>
      <c r="D381" s="61"/>
    </row>
    <row r="382" spans="1:4" ht="24.6" customHeight="1" thickBot="1" x14ac:dyDescent="0.25">
      <c r="A382" s="62" t="s">
        <v>830</v>
      </c>
      <c r="B382" s="63" t="s">
        <v>831</v>
      </c>
      <c r="C382" s="61"/>
      <c r="D382" s="61"/>
    </row>
    <row r="383" spans="1:4" ht="24.6" customHeight="1" thickBot="1" x14ac:dyDescent="0.25">
      <c r="A383" s="62" t="s">
        <v>832</v>
      </c>
      <c r="B383" s="63" t="s">
        <v>833</v>
      </c>
      <c r="C383" s="61"/>
      <c r="D383" s="61"/>
    </row>
    <row r="384" spans="1:4" ht="24.6" customHeight="1" thickBot="1" x14ac:dyDescent="0.25">
      <c r="A384" s="62" t="s">
        <v>834</v>
      </c>
      <c r="B384" s="63" t="s">
        <v>835</v>
      </c>
      <c r="C384" s="61"/>
      <c r="D384" s="61"/>
    </row>
    <row r="385" spans="1:4" ht="24.6" customHeight="1" thickBot="1" x14ac:dyDescent="0.25">
      <c r="A385" s="911" t="s">
        <v>836</v>
      </c>
      <c r="B385" s="912"/>
      <c r="C385" s="61"/>
      <c r="D385" s="61"/>
    </row>
    <row r="386" spans="1:4" ht="24.6" customHeight="1" thickBot="1" x14ac:dyDescent="0.25">
      <c r="A386" s="62" t="s">
        <v>837</v>
      </c>
      <c r="B386" s="63" t="s">
        <v>838</v>
      </c>
      <c r="C386" s="61"/>
      <c r="D386" s="61"/>
    </row>
    <row r="387" spans="1:4" ht="24.6" customHeight="1" thickBot="1" x14ac:dyDescent="0.25">
      <c r="A387" s="62" t="s">
        <v>839</v>
      </c>
      <c r="B387" s="63" t="s">
        <v>840</v>
      </c>
      <c r="C387" s="61"/>
      <c r="D387" s="61"/>
    </row>
    <row r="388" spans="1:4" ht="24.6" customHeight="1" thickBot="1" x14ac:dyDescent="0.25">
      <c r="A388" s="62" t="s">
        <v>841</v>
      </c>
      <c r="B388" s="63" t="s">
        <v>842</v>
      </c>
      <c r="C388" s="61"/>
      <c r="D388" s="61"/>
    </row>
    <row r="389" spans="1:4" ht="24.6" customHeight="1" thickBot="1" x14ac:dyDescent="0.25">
      <c r="A389" s="62" t="s">
        <v>843</v>
      </c>
      <c r="B389" s="63" t="s">
        <v>844</v>
      </c>
      <c r="C389" s="61"/>
      <c r="D389" s="61"/>
    </row>
    <row r="390" spans="1:4" ht="24.6" customHeight="1" thickBot="1" x14ac:dyDescent="0.25">
      <c r="A390" s="62" t="s">
        <v>845</v>
      </c>
      <c r="B390" s="63" t="s">
        <v>846</v>
      </c>
      <c r="C390" s="61"/>
      <c r="D390" s="61"/>
    </row>
    <row r="391" spans="1:4" ht="24.6" customHeight="1" thickBot="1" x14ac:dyDescent="0.25">
      <c r="A391" s="62" t="s">
        <v>847</v>
      </c>
      <c r="B391" s="63" t="s">
        <v>848</v>
      </c>
      <c r="C391" s="61"/>
      <c r="D391" s="61"/>
    </row>
    <row r="392" spans="1:4" ht="24.6" customHeight="1" thickBot="1" x14ac:dyDescent="0.25">
      <c r="A392" s="62" t="s">
        <v>849</v>
      </c>
      <c r="B392" s="63" t="s">
        <v>447</v>
      </c>
      <c r="C392" s="61"/>
      <c r="D392" s="61"/>
    </row>
    <row r="393" spans="1:4" ht="24.6" customHeight="1" thickBot="1" x14ac:dyDescent="0.25">
      <c r="A393" s="62" t="s">
        <v>850</v>
      </c>
      <c r="B393" s="63" t="s">
        <v>851</v>
      </c>
      <c r="C393" s="61"/>
      <c r="D393" s="61"/>
    </row>
    <row r="394" spans="1:4" ht="24.6" customHeight="1" thickBot="1" x14ac:dyDescent="0.25">
      <c r="A394" s="62" t="s">
        <v>852</v>
      </c>
      <c r="B394" s="63" t="s">
        <v>853</v>
      </c>
      <c r="C394" s="61"/>
      <c r="D394" s="61"/>
    </row>
    <row r="395" spans="1:4" ht="24.6" customHeight="1" thickBot="1" x14ac:dyDescent="0.25">
      <c r="A395" s="62" t="s">
        <v>854</v>
      </c>
      <c r="B395" s="63" t="s">
        <v>855</v>
      </c>
      <c r="C395" s="61"/>
      <c r="D395" s="61"/>
    </row>
    <row r="396" spans="1:4" ht="24.6" customHeight="1" thickBot="1" x14ac:dyDescent="0.25">
      <c r="A396" s="62" t="s">
        <v>856</v>
      </c>
      <c r="B396" s="63" t="s">
        <v>857</v>
      </c>
      <c r="C396" s="61"/>
      <c r="D396" s="61"/>
    </row>
    <row r="397" spans="1:4" ht="24.6" customHeight="1" thickBot="1" x14ac:dyDescent="0.25">
      <c r="A397" s="62" t="s">
        <v>858</v>
      </c>
      <c r="B397" s="63" t="s">
        <v>859</v>
      </c>
      <c r="C397" s="61"/>
      <c r="D397" s="61"/>
    </row>
    <row r="398" spans="1:4" ht="24.6" customHeight="1" thickBot="1" x14ac:dyDescent="0.25">
      <c r="A398" s="62" t="s">
        <v>860</v>
      </c>
      <c r="B398" s="63" t="s">
        <v>861</v>
      </c>
      <c r="C398" s="61"/>
      <c r="D398" s="61"/>
    </row>
    <row r="399" spans="1:4" ht="24.6" customHeight="1" thickBot="1" x14ac:dyDescent="0.25">
      <c r="A399" s="62" t="s">
        <v>862</v>
      </c>
      <c r="B399" s="63" t="s">
        <v>863</v>
      </c>
      <c r="C399" s="61"/>
      <c r="D399" s="61"/>
    </row>
    <row r="400" spans="1:4" ht="24.6" customHeight="1" thickBot="1" x14ac:dyDescent="0.25">
      <c r="A400" s="62" t="s">
        <v>864</v>
      </c>
      <c r="B400" s="63" t="s">
        <v>865</v>
      </c>
      <c r="C400" s="61"/>
      <c r="D400" s="61"/>
    </row>
    <row r="401" spans="1:4" ht="24.6" customHeight="1" thickBot="1" x14ac:dyDescent="0.25">
      <c r="A401" s="62" t="s">
        <v>866</v>
      </c>
      <c r="B401" s="63" t="s">
        <v>867</v>
      </c>
      <c r="C401" s="61"/>
      <c r="D401" s="61"/>
    </row>
    <row r="402" spans="1:4" ht="24.6" customHeight="1" thickBot="1" x14ac:dyDescent="0.25">
      <c r="A402" s="62" t="s">
        <v>868</v>
      </c>
      <c r="B402" s="63" t="s">
        <v>869</v>
      </c>
      <c r="C402" s="61"/>
      <c r="D402" s="61"/>
    </row>
    <row r="403" spans="1:4" ht="24.6" customHeight="1" thickBot="1" x14ac:dyDescent="0.25">
      <c r="A403" s="62" t="s">
        <v>870</v>
      </c>
      <c r="B403" s="63" t="s">
        <v>871</v>
      </c>
      <c r="C403" s="61"/>
      <c r="D403" s="61"/>
    </row>
    <row r="404" spans="1:4" ht="24.6" customHeight="1" thickBot="1" x14ac:dyDescent="0.25">
      <c r="A404" s="62" t="s">
        <v>872</v>
      </c>
      <c r="B404" s="63" t="s">
        <v>873</v>
      </c>
      <c r="C404" s="61"/>
      <c r="D404" s="61"/>
    </row>
    <row r="405" spans="1:4" ht="24.6" customHeight="1" thickBot="1" x14ac:dyDescent="0.25">
      <c r="A405" s="62" t="s">
        <v>874</v>
      </c>
      <c r="B405" s="63" t="s">
        <v>875</v>
      </c>
      <c r="C405" s="61"/>
      <c r="D405" s="61"/>
    </row>
    <row r="406" spans="1:4" ht="24.6" customHeight="1" thickBot="1" x14ac:dyDescent="0.25">
      <c r="A406" s="911" t="s">
        <v>876</v>
      </c>
      <c r="B406" s="912"/>
      <c r="C406" s="61"/>
      <c r="D406" s="61"/>
    </row>
    <row r="407" spans="1:4" ht="24.6" customHeight="1" thickBot="1" x14ac:dyDescent="0.25">
      <c r="A407" s="62" t="s">
        <v>877</v>
      </c>
      <c r="B407" s="63" t="s">
        <v>878</v>
      </c>
      <c r="C407" s="61"/>
      <c r="D407" s="61"/>
    </row>
    <row r="408" spans="1:4" ht="24.6" customHeight="1" thickBot="1" x14ac:dyDescent="0.25">
      <c r="A408" s="62" t="s">
        <v>879</v>
      </c>
      <c r="B408" s="63" t="s">
        <v>880</v>
      </c>
      <c r="C408" s="61"/>
      <c r="D408" s="61"/>
    </row>
    <row r="409" spans="1:4" ht="24.6" customHeight="1" thickBot="1" x14ac:dyDescent="0.25">
      <c r="A409" s="62" t="s">
        <v>881</v>
      </c>
      <c r="B409" s="63" t="s">
        <v>882</v>
      </c>
      <c r="C409" s="61"/>
      <c r="D409" s="61"/>
    </row>
    <row r="410" spans="1:4" ht="24.6" customHeight="1" thickBot="1" x14ac:dyDescent="0.25">
      <c r="A410" s="62" t="s">
        <v>883</v>
      </c>
      <c r="B410" s="63" t="s">
        <v>762</v>
      </c>
      <c r="C410" s="61"/>
      <c r="D410" s="61"/>
    </row>
    <row r="411" spans="1:4" ht="24.6" customHeight="1" thickBot="1" x14ac:dyDescent="0.25">
      <c r="A411" s="62" t="s">
        <v>884</v>
      </c>
      <c r="B411" s="63" t="s">
        <v>641</v>
      </c>
      <c r="C411" s="61"/>
      <c r="D411" s="61"/>
    </row>
    <row r="412" spans="1:4" ht="24.6" customHeight="1" thickBot="1" x14ac:dyDescent="0.25">
      <c r="A412" s="911" t="s">
        <v>885</v>
      </c>
      <c r="B412" s="912"/>
      <c r="C412" s="61"/>
      <c r="D412" s="61"/>
    </row>
    <row r="413" spans="1:4" ht="24.6" customHeight="1" thickBot="1" x14ac:dyDescent="0.25">
      <c r="A413" s="62" t="s">
        <v>886</v>
      </c>
      <c r="B413" s="63" t="s">
        <v>887</v>
      </c>
      <c r="C413" s="61"/>
      <c r="D413" s="61"/>
    </row>
    <row r="414" spans="1:4" ht="24.6" customHeight="1" thickBot="1" x14ac:dyDescent="0.25">
      <c r="A414" s="911" t="s">
        <v>888</v>
      </c>
      <c r="B414" s="912"/>
      <c r="C414" s="61"/>
      <c r="D414" s="61"/>
    </row>
    <row r="415" spans="1:4" ht="24.6" customHeight="1" thickBot="1" x14ac:dyDescent="0.25">
      <c r="A415" s="62" t="s">
        <v>889</v>
      </c>
      <c r="B415" s="63" t="s">
        <v>890</v>
      </c>
      <c r="C415" s="61"/>
      <c r="D415" s="61"/>
    </row>
    <row r="416" spans="1:4" ht="24.6" customHeight="1" thickBot="1" x14ac:dyDescent="0.25">
      <c r="A416" s="62" t="s">
        <v>891</v>
      </c>
      <c r="B416" s="63" t="s">
        <v>892</v>
      </c>
      <c r="C416" s="61"/>
      <c r="D416" s="61"/>
    </row>
    <row r="417" spans="1:4" ht="24.6" customHeight="1" thickBot="1" x14ac:dyDescent="0.25">
      <c r="A417" s="62" t="s">
        <v>893</v>
      </c>
      <c r="B417" s="63" t="s">
        <v>894</v>
      </c>
      <c r="C417" s="61"/>
      <c r="D417" s="61"/>
    </row>
    <row r="418" spans="1:4" ht="24.6" customHeight="1" thickBot="1" x14ac:dyDescent="0.25">
      <c r="A418" s="62" t="s">
        <v>895</v>
      </c>
      <c r="B418" s="63" t="s">
        <v>896</v>
      </c>
      <c r="C418" s="61"/>
      <c r="D418" s="61"/>
    </row>
    <row r="419" spans="1:4" ht="24.6" customHeight="1" thickBot="1" x14ac:dyDescent="0.25">
      <c r="A419" s="62" t="s">
        <v>897</v>
      </c>
      <c r="B419" s="63" t="s">
        <v>898</v>
      </c>
      <c r="C419" s="61"/>
      <c r="D419" s="61"/>
    </row>
    <row r="420" spans="1:4" ht="24.6" customHeight="1" thickBot="1" x14ac:dyDescent="0.25">
      <c r="A420" s="62" t="s">
        <v>899</v>
      </c>
      <c r="B420" s="63" t="s">
        <v>900</v>
      </c>
      <c r="C420" s="61"/>
      <c r="D420" s="61"/>
    </row>
    <row r="421" spans="1:4" ht="24.6" customHeight="1" thickBot="1" x14ac:dyDescent="0.25">
      <c r="A421" s="62" t="s">
        <v>901</v>
      </c>
      <c r="B421" s="63" t="s">
        <v>902</v>
      </c>
      <c r="C421" s="61"/>
      <c r="D421" s="61"/>
    </row>
    <row r="422" spans="1:4" ht="24.6" customHeight="1" thickBot="1" x14ac:dyDescent="0.25">
      <c r="A422" s="911" t="s">
        <v>903</v>
      </c>
      <c r="B422" s="912"/>
      <c r="C422" s="61"/>
      <c r="D422" s="61"/>
    </row>
    <row r="423" spans="1:4" ht="24.6" customHeight="1" thickBot="1" x14ac:dyDescent="0.25">
      <c r="A423" s="62" t="s">
        <v>904</v>
      </c>
      <c r="B423" s="63" t="s">
        <v>905</v>
      </c>
      <c r="C423" s="61"/>
      <c r="D423" s="61"/>
    </row>
    <row r="424" spans="1:4" ht="24.6" customHeight="1" thickBot="1" x14ac:dyDescent="0.25">
      <c r="A424" s="62" t="s">
        <v>906</v>
      </c>
      <c r="B424" s="63" t="s">
        <v>907</v>
      </c>
      <c r="C424" s="61"/>
      <c r="D424" s="61"/>
    </row>
    <row r="425" spans="1:4" ht="24.6" customHeight="1" thickBot="1" x14ac:dyDescent="0.25">
      <c r="A425" s="62" t="s">
        <v>908</v>
      </c>
      <c r="B425" s="63" t="s">
        <v>478</v>
      </c>
      <c r="C425" s="61"/>
      <c r="D425" s="61"/>
    </row>
    <row r="426" spans="1:4" ht="24.6" customHeight="1" thickBot="1" x14ac:dyDescent="0.25">
      <c r="A426" s="62" t="s">
        <v>909</v>
      </c>
      <c r="B426" s="63" t="s">
        <v>910</v>
      </c>
      <c r="C426" s="61"/>
      <c r="D426" s="61"/>
    </row>
    <row r="427" spans="1:4" ht="24.6" customHeight="1" thickBot="1" x14ac:dyDescent="0.25">
      <c r="A427" s="62" t="s">
        <v>911</v>
      </c>
      <c r="B427" s="63" t="s">
        <v>912</v>
      </c>
      <c r="C427" s="61"/>
      <c r="D427" s="61"/>
    </row>
    <row r="428" spans="1:4" ht="24.6" customHeight="1" thickBot="1" x14ac:dyDescent="0.25">
      <c r="A428" s="62" t="s">
        <v>913</v>
      </c>
      <c r="B428" s="63" t="s">
        <v>914</v>
      </c>
      <c r="C428" s="61"/>
      <c r="D428" s="61"/>
    </row>
    <row r="429" spans="1:4" ht="24.6" customHeight="1" thickBot="1" x14ac:dyDescent="0.25">
      <c r="A429" s="62" t="s">
        <v>915</v>
      </c>
      <c r="B429" s="63" t="s">
        <v>916</v>
      </c>
      <c r="C429" s="61"/>
      <c r="D429" s="61"/>
    </row>
    <row r="430" spans="1:4" ht="24.6" customHeight="1" thickBot="1" x14ac:dyDescent="0.25">
      <c r="A430" s="62" t="s">
        <v>917</v>
      </c>
      <c r="B430" s="63" t="s">
        <v>385</v>
      </c>
      <c r="C430" s="61"/>
      <c r="D430" s="61"/>
    </row>
    <row r="431" spans="1:4" ht="24.6" customHeight="1" thickBot="1" x14ac:dyDescent="0.25">
      <c r="A431" s="911" t="s">
        <v>918</v>
      </c>
      <c r="B431" s="912"/>
      <c r="C431" s="61"/>
      <c r="D431" s="61"/>
    </row>
    <row r="432" spans="1:4" ht="24.6" customHeight="1" thickBot="1" x14ac:dyDescent="0.25">
      <c r="A432" s="62" t="s">
        <v>919</v>
      </c>
      <c r="B432" s="63" t="s">
        <v>920</v>
      </c>
      <c r="C432" s="61"/>
      <c r="D432" s="61"/>
    </row>
    <row r="433" spans="1:4" ht="24.6" customHeight="1" thickBot="1" x14ac:dyDescent="0.25">
      <c r="A433" s="62" t="s">
        <v>921</v>
      </c>
      <c r="B433" s="63" t="s">
        <v>922</v>
      </c>
      <c r="C433" s="61"/>
      <c r="D433" s="61"/>
    </row>
    <row r="434" spans="1:4" ht="24.6" customHeight="1" thickBot="1" x14ac:dyDescent="0.25">
      <c r="A434" s="62" t="s">
        <v>923</v>
      </c>
      <c r="B434" s="63" t="s">
        <v>924</v>
      </c>
      <c r="C434" s="61"/>
      <c r="D434" s="61"/>
    </row>
    <row r="435" spans="1:4" ht="24.6" customHeight="1" thickBot="1" x14ac:dyDescent="0.25">
      <c r="A435" s="914" t="s">
        <v>925</v>
      </c>
      <c r="B435" s="915"/>
      <c r="C435" s="61"/>
      <c r="D435" s="61"/>
    </row>
    <row r="436" spans="1:4" ht="24.6" customHeight="1" thickBot="1" x14ac:dyDescent="0.25">
      <c r="A436" s="911" t="s">
        <v>415</v>
      </c>
      <c r="B436" s="912"/>
      <c r="C436" s="61"/>
      <c r="D436" s="61"/>
    </row>
    <row r="437" spans="1:4" ht="24.6" customHeight="1" thickBot="1" x14ac:dyDescent="0.25">
      <c r="A437" s="911" t="s">
        <v>140</v>
      </c>
      <c r="B437" s="912"/>
      <c r="C437" s="61"/>
      <c r="D437" s="61"/>
    </row>
    <row r="438" spans="1:4" ht="24.6" customHeight="1" thickBot="1" x14ac:dyDescent="0.25">
      <c r="A438" s="62" t="s">
        <v>926</v>
      </c>
      <c r="B438" s="63" t="s">
        <v>142</v>
      </c>
      <c r="C438" s="61"/>
      <c r="D438" s="61"/>
    </row>
    <row r="439" spans="1:4" ht="24.6" customHeight="1" thickBot="1" x14ac:dyDescent="0.25">
      <c r="A439" s="62" t="s">
        <v>927</v>
      </c>
      <c r="B439" s="63" t="s">
        <v>249</v>
      </c>
      <c r="C439" s="61"/>
      <c r="D439" s="61"/>
    </row>
    <row r="440" spans="1:4" ht="24.6" customHeight="1" thickBot="1" x14ac:dyDescent="0.25">
      <c r="A440" s="62" t="s">
        <v>928</v>
      </c>
      <c r="B440" s="63" t="s">
        <v>929</v>
      </c>
      <c r="C440" s="61"/>
      <c r="D440" s="61"/>
    </row>
    <row r="441" spans="1:4" ht="24.6" customHeight="1" thickBot="1" x14ac:dyDescent="0.25">
      <c r="A441" s="911" t="s">
        <v>149</v>
      </c>
      <c r="B441" s="912"/>
      <c r="C441" s="61"/>
      <c r="D441" s="61"/>
    </row>
    <row r="442" spans="1:4" ht="24.6" customHeight="1" thickBot="1" x14ac:dyDescent="0.25">
      <c r="A442" s="62" t="s">
        <v>930</v>
      </c>
      <c r="B442" s="63" t="s">
        <v>152</v>
      </c>
      <c r="C442" s="61"/>
      <c r="D442" s="61"/>
    </row>
    <row r="443" spans="1:4" ht="24.6" customHeight="1" thickBot="1" x14ac:dyDescent="0.25">
      <c r="A443" s="62" t="s">
        <v>931</v>
      </c>
      <c r="B443" s="63" t="s">
        <v>150</v>
      </c>
      <c r="C443" s="61"/>
      <c r="D443" s="61"/>
    </row>
    <row r="444" spans="1:4" ht="24.6" customHeight="1" thickBot="1" x14ac:dyDescent="0.25">
      <c r="A444" s="914" t="s">
        <v>932</v>
      </c>
      <c r="B444" s="915"/>
      <c r="C444" s="61"/>
      <c r="D444" s="61"/>
    </row>
    <row r="445" spans="1:4" ht="24.6" customHeight="1" thickBot="1" x14ac:dyDescent="0.25">
      <c r="A445" s="914" t="s">
        <v>933</v>
      </c>
      <c r="B445" s="915"/>
      <c r="C445" s="61"/>
      <c r="D445" s="61"/>
    </row>
    <row r="446" spans="1:4" ht="24.6" customHeight="1" thickBot="1" x14ac:dyDescent="0.25">
      <c r="A446" s="911" t="s">
        <v>140</v>
      </c>
      <c r="B446" s="912"/>
      <c r="C446" s="61"/>
      <c r="D446" s="61"/>
    </row>
    <row r="447" spans="1:4" ht="24.6" customHeight="1" thickBot="1" x14ac:dyDescent="0.25">
      <c r="A447" s="62" t="s">
        <v>934</v>
      </c>
      <c r="B447" s="63" t="s">
        <v>249</v>
      </c>
      <c r="C447" s="61"/>
      <c r="D447" s="61"/>
    </row>
    <row r="448" spans="1:4" ht="24.6" customHeight="1" thickBot="1" x14ac:dyDescent="0.25">
      <c r="A448" s="62" t="s">
        <v>935</v>
      </c>
      <c r="B448" s="63" t="s">
        <v>936</v>
      </c>
      <c r="C448" s="61"/>
      <c r="D448" s="61"/>
    </row>
    <row r="449" spans="1:4" ht="24.6" customHeight="1" thickBot="1" x14ac:dyDescent="0.25">
      <c r="A449" s="62" t="s">
        <v>937</v>
      </c>
      <c r="B449" s="63" t="s">
        <v>938</v>
      </c>
      <c r="C449" s="61"/>
      <c r="D449" s="61"/>
    </row>
    <row r="450" spans="1:4" ht="24.6" customHeight="1" thickBot="1" x14ac:dyDescent="0.25">
      <c r="A450" s="62" t="s">
        <v>939</v>
      </c>
      <c r="B450" s="63" t="s">
        <v>940</v>
      </c>
      <c r="C450" s="61"/>
      <c r="D450" s="61"/>
    </row>
    <row r="451" spans="1:4" ht="24.6" customHeight="1" thickBot="1" x14ac:dyDescent="0.25">
      <c r="A451" s="62" t="s">
        <v>941</v>
      </c>
      <c r="B451" s="63" t="s">
        <v>205</v>
      </c>
      <c r="C451" s="61"/>
      <c r="D451" s="61"/>
    </row>
    <row r="452" spans="1:4" ht="24.6" customHeight="1" thickBot="1" x14ac:dyDescent="0.25">
      <c r="A452" s="62" t="s">
        <v>942</v>
      </c>
      <c r="B452" s="63" t="s">
        <v>943</v>
      </c>
      <c r="C452" s="61"/>
      <c r="D452" s="61"/>
    </row>
    <row r="453" spans="1:4" ht="24.6" customHeight="1" thickBot="1" x14ac:dyDescent="0.25">
      <c r="A453" s="62" t="s">
        <v>944</v>
      </c>
      <c r="B453" s="63" t="s">
        <v>945</v>
      </c>
      <c r="C453" s="61"/>
      <c r="D453" s="61"/>
    </row>
    <row r="454" spans="1:4" ht="24.6" customHeight="1" thickBot="1" x14ac:dyDescent="0.25">
      <c r="A454" s="62" t="s">
        <v>946</v>
      </c>
      <c r="B454" s="63" t="s">
        <v>947</v>
      </c>
      <c r="C454" s="61"/>
      <c r="D454" s="61"/>
    </row>
    <row r="455" spans="1:4" ht="24.6" customHeight="1" thickBot="1" x14ac:dyDescent="0.25">
      <c r="A455" s="911" t="s">
        <v>948</v>
      </c>
      <c r="B455" s="912"/>
      <c r="C455" s="61"/>
      <c r="D455" s="61"/>
    </row>
    <row r="456" spans="1:4" ht="24.6" customHeight="1" thickBot="1" x14ac:dyDescent="0.25">
      <c r="A456" s="62" t="s">
        <v>949</v>
      </c>
      <c r="B456" s="63" t="s">
        <v>950</v>
      </c>
      <c r="C456" s="61"/>
      <c r="D456" s="61"/>
    </row>
    <row r="457" spans="1:4" ht="24.6" customHeight="1" thickBot="1" x14ac:dyDescent="0.25">
      <c r="A457" s="62" t="s">
        <v>951</v>
      </c>
      <c r="B457" s="63" t="s">
        <v>189</v>
      </c>
      <c r="C457" s="61"/>
      <c r="D457" s="61"/>
    </row>
    <row r="458" spans="1:4" ht="24.6" customHeight="1" thickBot="1" x14ac:dyDescent="0.25">
      <c r="A458" s="62" t="s">
        <v>952</v>
      </c>
      <c r="B458" s="63" t="s">
        <v>150</v>
      </c>
      <c r="C458" s="61"/>
      <c r="D458" s="61"/>
    </row>
    <row r="459" spans="1:4" ht="24.6" customHeight="1" thickBot="1" x14ac:dyDescent="0.25">
      <c r="A459" s="62" t="s">
        <v>953</v>
      </c>
      <c r="B459" s="63" t="s">
        <v>954</v>
      </c>
      <c r="C459" s="61"/>
      <c r="D459" s="61"/>
    </row>
    <row r="460" spans="1:4" ht="24.6" customHeight="1" thickBot="1" x14ac:dyDescent="0.25">
      <c r="A460" s="911" t="s">
        <v>955</v>
      </c>
      <c r="B460" s="912"/>
      <c r="C460" s="61"/>
      <c r="D460" s="61"/>
    </row>
    <row r="461" spans="1:4" ht="24.6" customHeight="1" thickBot="1" x14ac:dyDescent="0.25">
      <c r="A461" s="911" t="s">
        <v>956</v>
      </c>
      <c r="B461" s="912"/>
      <c r="C461" s="61"/>
      <c r="D461" s="61"/>
    </row>
    <row r="462" spans="1:4" ht="24.6" customHeight="1" thickBot="1" x14ac:dyDescent="0.25">
      <c r="A462" s="62" t="s">
        <v>957</v>
      </c>
      <c r="B462" s="63" t="s">
        <v>249</v>
      </c>
      <c r="C462" s="61"/>
      <c r="D462" s="61"/>
    </row>
    <row r="463" spans="1:4" ht="24.6" customHeight="1" thickBot="1" x14ac:dyDescent="0.25">
      <c r="A463" s="62" t="s">
        <v>958</v>
      </c>
      <c r="B463" s="63" t="s">
        <v>959</v>
      </c>
      <c r="C463" s="61"/>
      <c r="D463" s="61"/>
    </row>
    <row r="464" spans="1:4" ht="24.6" customHeight="1" thickBot="1" x14ac:dyDescent="0.25">
      <c r="A464" s="62" t="s">
        <v>960</v>
      </c>
      <c r="B464" s="63" t="s">
        <v>205</v>
      </c>
      <c r="C464" s="61"/>
      <c r="D464" s="61"/>
    </row>
    <row r="465" spans="1:4" ht="24.6" customHeight="1" thickBot="1" x14ac:dyDescent="0.25">
      <c r="A465" s="62" t="s">
        <v>961</v>
      </c>
      <c r="B465" s="63" t="s">
        <v>962</v>
      </c>
      <c r="C465" s="61"/>
      <c r="D465" s="61"/>
    </row>
    <row r="466" spans="1:4" ht="24.6" customHeight="1" thickBot="1" x14ac:dyDescent="0.25">
      <c r="A466" s="62" t="s">
        <v>963</v>
      </c>
      <c r="B466" s="63" t="s">
        <v>945</v>
      </c>
      <c r="C466" s="61"/>
      <c r="D466" s="61"/>
    </row>
    <row r="467" spans="1:4" ht="24.6" customHeight="1" thickBot="1" x14ac:dyDescent="0.25">
      <c r="A467" s="911" t="s">
        <v>948</v>
      </c>
      <c r="B467" s="912"/>
      <c r="C467" s="61"/>
      <c r="D467" s="61"/>
    </row>
    <row r="468" spans="1:4" ht="24.6" customHeight="1" thickBot="1" x14ac:dyDescent="0.25">
      <c r="A468" s="62" t="s">
        <v>964</v>
      </c>
      <c r="B468" s="63" t="s">
        <v>950</v>
      </c>
      <c r="C468" s="61"/>
      <c r="D468" s="61"/>
    </row>
    <row r="469" spans="1:4" ht="24.6" customHeight="1" thickBot="1" x14ac:dyDescent="0.25">
      <c r="A469" s="62" t="s">
        <v>965</v>
      </c>
      <c r="B469" s="63" t="s">
        <v>189</v>
      </c>
      <c r="C469" s="61"/>
      <c r="D469" s="61"/>
    </row>
    <row r="470" spans="1:4" ht="24.6" customHeight="1" thickBot="1" x14ac:dyDescent="0.25">
      <c r="A470" s="914" t="s">
        <v>966</v>
      </c>
      <c r="B470" s="915"/>
      <c r="C470" s="61"/>
      <c r="D470" s="61"/>
    </row>
    <row r="471" spans="1:4" ht="24.6" customHeight="1" thickBot="1" x14ac:dyDescent="0.25">
      <c r="A471" s="911" t="s">
        <v>956</v>
      </c>
      <c r="B471" s="912"/>
      <c r="C471" s="61"/>
      <c r="D471" s="61"/>
    </row>
    <row r="472" spans="1:4" ht="24.6" customHeight="1" thickBot="1" x14ac:dyDescent="0.25">
      <c r="A472" s="62" t="s">
        <v>967</v>
      </c>
      <c r="B472" s="63" t="s">
        <v>945</v>
      </c>
      <c r="C472" s="61"/>
      <c r="D472" s="61"/>
    </row>
    <row r="473" spans="1:4" ht="24.6" customHeight="1" thickBot="1" x14ac:dyDescent="0.25">
      <c r="A473" s="62" t="s">
        <v>968</v>
      </c>
      <c r="B473" s="63" t="s">
        <v>249</v>
      </c>
      <c r="C473" s="61"/>
      <c r="D473" s="61"/>
    </row>
    <row r="474" spans="1:4" ht="24.6" customHeight="1" thickBot="1" x14ac:dyDescent="0.25">
      <c r="A474" s="62" t="s">
        <v>969</v>
      </c>
      <c r="B474" s="63" t="s">
        <v>970</v>
      </c>
      <c r="C474" s="61"/>
      <c r="D474" s="61"/>
    </row>
    <row r="475" spans="1:4" ht="24.6" customHeight="1" thickBot="1" x14ac:dyDescent="0.25">
      <c r="A475" s="62" t="s">
        <v>971</v>
      </c>
      <c r="B475" s="63" t="s">
        <v>972</v>
      </c>
      <c r="C475" s="61"/>
      <c r="D475" s="61"/>
    </row>
    <row r="476" spans="1:4" ht="24.6" customHeight="1" thickBot="1" x14ac:dyDescent="0.25">
      <c r="A476" s="62" t="s">
        <v>973</v>
      </c>
      <c r="B476" s="63" t="s">
        <v>943</v>
      </c>
      <c r="C476" s="61"/>
      <c r="D476" s="61"/>
    </row>
    <row r="477" spans="1:4" ht="24.6" customHeight="1" thickBot="1" x14ac:dyDescent="0.25">
      <c r="A477" s="62" t="s">
        <v>974</v>
      </c>
      <c r="B477" s="63" t="s">
        <v>975</v>
      </c>
      <c r="C477" s="61"/>
      <c r="D477" s="61"/>
    </row>
    <row r="478" spans="1:4" ht="24.6" customHeight="1" thickBot="1" x14ac:dyDescent="0.25">
      <c r="A478" s="62" t="s">
        <v>976</v>
      </c>
      <c r="B478" s="63" t="s">
        <v>938</v>
      </c>
      <c r="C478" s="61"/>
      <c r="D478" s="61"/>
    </row>
    <row r="479" spans="1:4" ht="24.6" customHeight="1" thickBot="1" x14ac:dyDescent="0.25">
      <c r="A479" s="62" t="s">
        <v>977</v>
      </c>
      <c r="B479" s="63" t="s">
        <v>978</v>
      </c>
      <c r="C479" s="61"/>
      <c r="D479" s="61"/>
    </row>
    <row r="480" spans="1:4" ht="24.6" customHeight="1" thickBot="1" x14ac:dyDescent="0.25">
      <c r="A480" s="62" t="s">
        <v>979</v>
      </c>
      <c r="B480" s="63" t="s">
        <v>980</v>
      </c>
      <c r="C480" s="61"/>
      <c r="D480" s="61"/>
    </row>
    <row r="481" spans="1:4" ht="24.6" customHeight="1" thickBot="1" x14ac:dyDescent="0.25">
      <c r="A481" s="911" t="s">
        <v>981</v>
      </c>
      <c r="B481" s="912"/>
      <c r="C481" s="61"/>
      <c r="D481" s="61"/>
    </row>
    <row r="482" spans="1:4" ht="24.6" customHeight="1" thickBot="1" x14ac:dyDescent="0.25">
      <c r="A482" s="62" t="s">
        <v>982</v>
      </c>
      <c r="B482" s="63" t="s">
        <v>185</v>
      </c>
      <c r="C482" s="61"/>
      <c r="D482" s="61"/>
    </row>
    <row r="483" spans="1:4" ht="24.6" customHeight="1" thickBot="1" x14ac:dyDescent="0.25">
      <c r="A483" s="62" t="s">
        <v>983</v>
      </c>
      <c r="B483" s="63" t="s">
        <v>950</v>
      </c>
      <c r="C483" s="61"/>
      <c r="D483" s="61"/>
    </row>
    <row r="484" spans="1:4" ht="24.6" customHeight="1" thickBot="1" x14ac:dyDescent="0.25">
      <c r="A484" s="62" t="s">
        <v>984</v>
      </c>
      <c r="B484" s="63" t="s">
        <v>189</v>
      </c>
      <c r="C484" s="61"/>
      <c r="D484" s="61"/>
    </row>
    <row r="485" spans="1:4" ht="24.6" customHeight="1" thickBot="1" x14ac:dyDescent="0.25">
      <c r="A485" s="62" t="s">
        <v>985</v>
      </c>
      <c r="B485" s="63" t="s">
        <v>986</v>
      </c>
      <c r="C485" s="61"/>
      <c r="D485" s="61"/>
    </row>
    <row r="486" spans="1:4" ht="24.6" customHeight="1" thickBot="1" x14ac:dyDescent="0.25">
      <c r="A486" s="62" t="s">
        <v>987</v>
      </c>
      <c r="B486" s="63" t="s">
        <v>195</v>
      </c>
      <c r="C486" s="61"/>
      <c r="D486" s="61"/>
    </row>
    <row r="487" spans="1:4" ht="24.6" customHeight="1" thickBot="1" x14ac:dyDescent="0.25">
      <c r="A487" s="62" t="s">
        <v>988</v>
      </c>
      <c r="B487" s="63" t="s">
        <v>156</v>
      </c>
      <c r="C487" s="61"/>
      <c r="D487" s="61"/>
    </row>
    <row r="488" spans="1:4" ht="24.6" customHeight="1" thickBot="1" x14ac:dyDescent="0.25">
      <c r="A488" s="62" t="s">
        <v>989</v>
      </c>
      <c r="B488" s="63" t="s">
        <v>990</v>
      </c>
      <c r="C488" s="61"/>
      <c r="D488" s="61"/>
    </row>
    <row r="489" spans="1:4" ht="24.6" customHeight="1" thickBot="1" x14ac:dyDescent="0.25">
      <c r="A489" s="914" t="s">
        <v>991</v>
      </c>
      <c r="B489" s="915"/>
      <c r="C489" s="61"/>
      <c r="D489" s="61"/>
    </row>
    <row r="490" spans="1:4" ht="24.6" customHeight="1" thickBot="1" x14ac:dyDescent="0.25">
      <c r="A490" s="911" t="s">
        <v>415</v>
      </c>
      <c r="B490" s="912"/>
      <c r="C490" s="61"/>
      <c r="D490" s="61"/>
    </row>
    <row r="491" spans="1:4" ht="24.6" customHeight="1" thickBot="1" x14ac:dyDescent="0.25">
      <c r="A491" s="911" t="s">
        <v>956</v>
      </c>
      <c r="B491" s="912"/>
      <c r="C491" s="61"/>
      <c r="D491" s="61"/>
    </row>
    <row r="492" spans="1:4" ht="24.6" customHeight="1" thickBot="1" x14ac:dyDescent="0.25">
      <c r="A492" s="62" t="s">
        <v>992</v>
      </c>
      <c r="B492" s="63" t="s">
        <v>993</v>
      </c>
      <c r="C492" s="61"/>
      <c r="D492" s="61"/>
    </row>
    <row r="493" spans="1:4" ht="24.6" customHeight="1" thickBot="1" x14ac:dyDescent="0.25">
      <c r="A493" s="62" t="s">
        <v>994</v>
      </c>
      <c r="B493" s="63" t="s">
        <v>936</v>
      </c>
      <c r="C493" s="61"/>
      <c r="D493" s="61"/>
    </row>
    <row r="494" spans="1:4" ht="24.6" customHeight="1" thickBot="1" x14ac:dyDescent="0.25">
      <c r="A494" s="62" t="s">
        <v>995</v>
      </c>
      <c r="B494" s="63" t="s">
        <v>996</v>
      </c>
      <c r="C494" s="61"/>
      <c r="D494" s="61"/>
    </row>
    <row r="495" spans="1:4" ht="24.6" customHeight="1" thickBot="1" x14ac:dyDescent="0.25">
      <c r="A495" s="62" t="s">
        <v>997</v>
      </c>
      <c r="B495" s="63" t="s">
        <v>998</v>
      </c>
      <c r="C495" s="61"/>
      <c r="D495" s="61"/>
    </row>
    <row r="496" spans="1:4" ht="24.6" customHeight="1" thickBot="1" x14ac:dyDescent="0.25">
      <c r="A496" s="62" t="s">
        <v>999</v>
      </c>
      <c r="B496" s="63" t="s">
        <v>1000</v>
      </c>
      <c r="C496" s="61"/>
      <c r="D496" s="61"/>
    </row>
    <row r="497" spans="1:4" ht="24.6" customHeight="1" thickBot="1" x14ac:dyDescent="0.25">
      <c r="A497" s="62" t="s">
        <v>1001</v>
      </c>
      <c r="B497" s="63" t="s">
        <v>205</v>
      </c>
      <c r="C497" s="61"/>
      <c r="D497" s="61"/>
    </row>
    <row r="498" spans="1:4" ht="24.6" customHeight="1" thickBot="1" x14ac:dyDescent="0.25">
      <c r="A498" s="62" t="s">
        <v>1002</v>
      </c>
      <c r="B498" s="63" t="s">
        <v>1003</v>
      </c>
      <c r="C498" s="61"/>
      <c r="D498" s="61"/>
    </row>
    <row r="499" spans="1:4" ht="24.6" customHeight="1" thickBot="1" x14ac:dyDescent="0.25">
      <c r="A499" s="62" t="s">
        <v>1004</v>
      </c>
      <c r="B499" s="63" t="s">
        <v>1005</v>
      </c>
      <c r="C499" s="61"/>
      <c r="D499" s="61"/>
    </row>
    <row r="500" spans="1:4" ht="24.6" customHeight="1" thickBot="1" x14ac:dyDescent="0.25">
      <c r="A500" s="62" t="s">
        <v>1006</v>
      </c>
      <c r="B500" s="63" t="s">
        <v>1007</v>
      </c>
      <c r="C500" s="61"/>
      <c r="D500" s="61"/>
    </row>
    <row r="501" spans="1:4" ht="24.6" customHeight="1" thickBot="1" x14ac:dyDescent="0.25">
      <c r="A501" s="62" t="s">
        <v>1008</v>
      </c>
      <c r="B501" s="63" t="s">
        <v>1009</v>
      </c>
      <c r="C501" s="61"/>
      <c r="D501" s="61"/>
    </row>
    <row r="502" spans="1:4" ht="24.6" customHeight="1" thickBot="1" x14ac:dyDescent="0.25">
      <c r="A502" s="911" t="s">
        <v>981</v>
      </c>
      <c r="B502" s="912"/>
      <c r="C502" s="61"/>
      <c r="D502" s="61"/>
    </row>
    <row r="503" spans="1:4" ht="24.6" customHeight="1" thickBot="1" x14ac:dyDescent="0.25">
      <c r="A503" s="62" t="s">
        <v>1010</v>
      </c>
      <c r="B503" s="63" t="s">
        <v>185</v>
      </c>
      <c r="C503" s="61"/>
      <c r="D503" s="61"/>
    </row>
    <row r="504" spans="1:4" ht="24.6" customHeight="1" thickBot="1" x14ac:dyDescent="0.25">
      <c r="A504" s="62" t="s">
        <v>1011</v>
      </c>
      <c r="B504" s="63" t="s">
        <v>1012</v>
      </c>
      <c r="C504" s="61"/>
      <c r="D504" s="61"/>
    </row>
    <row r="505" spans="1:4" ht="24.6" customHeight="1" thickBot="1" x14ac:dyDescent="0.25">
      <c r="A505" s="62" t="s">
        <v>1013</v>
      </c>
      <c r="B505" s="63" t="s">
        <v>1014</v>
      </c>
      <c r="C505" s="61"/>
      <c r="D505" s="61"/>
    </row>
    <row r="506" spans="1:4" ht="24.6" customHeight="1" thickBot="1" x14ac:dyDescent="0.25">
      <c r="A506" s="62" t="s">
        <v>1015</v>
      </c>
      <c r="B506" s="63" t="s">
        <v>189</v>
      </c>
      <c r="C506" s="61"/>
      <c r="D506" s="61"/>
    </row>
    <row r="507" spans="1:4" ht="24.6" customHeight="1" thickBot="1" x14ac:dyDescent="0.25">
      <c r="A507" s="62" t="s">
        <v>1016</v>
      </c>
      <c r="B507" s="63" t="s">
        <v>191</v>
      </c>
      <c r="C507" s="61"/>
      <c r="D507" s="61"/>
    </row>
    <row r="508" spans="1:4" ht="24.6" customHeight="1" thickBot="1" x14ac:dyDescent="0.25">
      <c r="A508" s="62" t="s">
        <v>1017</v>
      </c>
      <c r="B508" s="63" t="s">
        <v>193</v>
      </c>
      <c r="C508" s="61"/>
      <c r="D508" s="61"/>
    </row>
    <row r="509" spans="1:4" ht="24.6" customHeight="1" thickBot="1" x14ac:dyDescent="0.25">
      <c r="A509" s="62" t="s">
        <v>1018</v>
      </c>
      <c r="B509" s="63" t="s">
        <v>195</v>
      </c>
      <c r="C509" s="61"/>
      <c r="D509" s="61"/>
    </row>
    <row r="510" spans="1:4" ht="24.6" customHeight="1" thickBot="1" x14ac:dyDescent="0.25">
      <c r="A510" s="62" t="s">
        <v>1019</v>
      </c>
      <c r="B510" s="63" t="s">
        <v>156</v>
      </c>
      <c r="C510" s="61"/>
      <c r="D510" s="61"/>
    </row>
    <row r="511" spans="1:4" ht="24.6" customHeight="1" thickBot="1" x14ac:dyDescent="0.25">
      <c r="A511" s="62" t="s">
        <v>1020</v>
      </c>
      <c r="B511" s="63" t="s">
        <v>1021</v>
      </c>
      <c r="C511" s="61"/>
      <c r="D511" s="61"/>
    </row>
    <row r="512" spans="1:4" ht="24.6" customHeight="1" thickBot="1" x14ac:dyDescent="0.25">
      <c r="A512" s="62" t="s">
        <v>1022</v>
      </c>
      <c r="B512" s="63" t="s">
        <v>1023</v>
      </c>
      <c r="C512" s="61"/>
      <c r="D512" s="61"/>
    </row>
    <row r="513" spans="1:4" ht="24.6" customHeight="1" thickBot="1" x14ac:dyDescent="0.25">
      <c r="A513" s="911" t="s">
        <v>1024</v>
      </c>
      <c r="B513" s="912"/>
      <c r="C513" s="61"/>
      <c r="D513" s="61"/>
    </row>
    <row r="514" spans="1:4" ht="24.6" customHeight="1" thickBot="1" x14ac:dyDescent="0.25">
      <c r="A514" s="62" t="s">
        <v>1025</v>
      </c>
      <c r="B514" s="63" t="s">
        <v>1026</v>
      </c>
      <c r="C514" s="61"/>
      <c r="D514" s="61"/>
    </row>
    <row r="515" spans="1:4" ht="24.6" customHeight="1" thickBot="1" x14ac:dyDescent="0.25">
      <c r="A515" s="62" t="s">
        <v>1027</v>
      </c>
      <c r="B515" s="63" t="s">
        <v>1028</v>
      </c>
      <c r="C515" s="61"/>
      <c r="D515" s="61"/>
    </row>
    <row r="516" spans="1:4" ht="24.6" customHeight="1" thickBot="1" x14ac:dyDescent="0.25">
      <c r="A516" s="62" t="s">
        <v>1029</v>
      </c>
      <c r="B516" s="63" t="s">
        <v>1030</v>
      </c>
      <c r="C516" s="61"/>
      <c r="D516" s="61"/>
    </row>
    <row r="517" spans="1:4" ht="24.6" customHeight="1" thickBot="1" x14ac:dyDescent="0.25">
      <c r="A517" s="62" t="s">
        <v>1031</v>
      </c>
      <c r="B517" s="63" t="s">
        <v>1032</v>
      </c>
      <c r="C517" s="61"/>
      <c r="D517" s="61"/>
    </row>
    <row r="518" spans="1:4" ht="24.6" customHeight="1" thickBot="1" x14ac:dyDescent="0.25">
      <c r="A518" s="918" t="s">
        <v>1033</v>
      </c>
      <c r="B518" s="919"/>
      <c r="C518" s="61"/>
      <c r="D518" s="61"/>
    </row>
    <row r="519" spans="1:4" ht="24.6" customHeight="1" thickBot="1" x14ac:dyDescent="0.25">
      <c r="A519" s="914" t="s">
        <v>1034</v>
      </c>
      <c r="B519" s="915"/>
      <c r="C519" s="61"/>
      <c r="D519" s="61"/>
    </row>
    <row r="520" spans="1:4" ht="24.6" customHeight="1" thickBot="1" x14ac:dyDescent="0.25">
      <c r="A520" s="911" t="s">
        <v>415</v>
      </c>
      <c r="B520" s="912"/>
      <c r="C520" s="61"/>
      <c r="D520" s="61"/>
    </row>
    <row r="521" spans="1:4" ht="24.6" customHeight="1" thickBot="1" x14ac:dyDescent="0.25">
      <c r="A521" s="62" t="s">
        <v>1035</v>
      </c>
      <c r="B521" s="63" t="s">
        <v>1036</v>
      </c>
      <c r="C521" s="61"/>
      <c r="D521" s="61"/>
    </row>
    <row r="522" spans="1:4" ht="24.6" customHeight="1" thickBot="1" x14ac:dyDescent="0.25">
      <c r="A522" s="62" t="s">
        <v>1037</v>
      </c>
      <c r="B522" s="63" t="s">
        <v>1038</v>
      </c>
      <c r="C522" s="61"/>
      <c r="D522" s="61"/>
    </row>
    <row r="523" spans="1:4" ht="24.6" customHeight="1" thickBot="1" x14ac:dyDescent="0.25">
      <c r="A523" s="62" t="s">
        <v>1039</v>
      </c>
      <c r="B523" s="63" t="s">
        <v>1040</v>
      </c>
      <c r="C523" s="61"/>
      <c r="D523" s="61"/>
    </row>
    <row r="524" spans="1:4" ht="24.6" customHeight="1" thickBot="1" x14ac:dyDescent="0.25">
      <c r="A524" s="62" t="s">
        <v>1041</v>
      </c>
      <c r="B524" s="63" t="s">
        <v>1042</v>
      </c>
      <c r="C524" s="61"/>
      <c r="D524" s="61"/>
    </row>
    <row r="525" spans="1:4" ht="24.6" customHeight="1" thickBot="1" x14ac:dyDescent="0.25">
      <c r="A525" s="62" t="s">
        <v>1043</v>
      </c>
      <c r="B525" s="63" t="s">
        <v>1044</v>
      </c>
      <c r="C525" s="61"/>
      <c r="D525" s="61"/>
    </row>
    <row r="526" spans="1:4" ht="24.6" customHeight="1" thickBot="1" x14ac:dyDescent="0.25">
      <c r="A526" s="62" t="s">
        <v>1045</v>
      </c>
      <c r="B526" s="63" t="s">
        <v>1046</v>
      </c>
      <c r="C526" s="61"/>
      <c r="D526" s="61"/>
    </row>
    <row r="527" spans="1:4" ht="24.6" customHeight="1" thickBot="1" x14ac:dyDescent="0.25">
      <c r="A527" s="62" t="s">
        <v>1047</v>
      </c>
      <c r="B527" s="63" t="s">
        <v>1048</v>
      </c>
      <c r="C527" s="61"/>
      <c r="D527" s="61"/>
    </row>
    <row r="528" spans="1:4" ht="24.6" customHeight="1" thickBot="1" x14ac:dyDescent="0.25">
      <c r="A528" s="62" t="s">
        <v>1049</v>
      </c>
      <c r="B528" s="63" t="s">
        <v>1050</v>
      </c>
      <c r="C528" s="61"/>
      <c r="D528" s="61"/>
    </row>
    <row r="529" spans="1:4" ht="24.6" customHeight="1" thickBot="1" x14ac:dyDescent="0.25">
      <c r="A529" s="62" t="s">
        <v>1051</v>
      </c>
      <c r="B529" s="63" t="s">
        <v>1052</v>
      </c>
      <c r="C529" s="61"/>
      <c r="D529" s="61"/>
    </row>
    <row r="530" spans="1:4" ht="24.6" customHeight="1" thickBot="1" x14ac:dyDescent="0.25">
      <c r="A530" s="62" t="s">
        <v>1053</v>
      </c>
      <c r="B530" s="63" t="s">
        <v>1054</v>
      </c>
      <c r="C530" s="61"/>
      <c r="D530" s="61"/>
    </row>
    <row r="531" spans="1:4" ht="24.6" customHeight="1" thickBot="1" x14ac:dyDescent="0.25">
      <c r="A531" s="62" t="s">
        <v>1055</v>
      </c>
      <c r="B531" s="63" t="s">
        <v>1056</v>
      </c>
      <c r="C531" s="61"/>
      <c r="D531" s="61"/>
    </row>
    <row r="532" spans="1:4" ht="24.6" customHeight="1" thickBot="1" x14ac:dyDescent="0.25">
      <c r="A532" s="62" t="s">
        <v>1057</v>
      </c>
      <c r="B532" s="63" t="s">
        <v>156</v>
      </c>
      <c r="C532" s="61"/>
      <c r="D532" s="61"/>
    </row>
    <row r="533" spans="1:4" ht="24.6" customHeight="1" thickBot="1" x14ac:dyDescent="0.25">
      <c r="A533" s="62" t="s">
        <v>1058</v>
      </c>
      <c r="B533" s="63" t="s">
        <v>1059</v>
      </c>
      <c r="C533" s="61"/>
      <c r="D533" s="61"/>
    </row>
    <row r="534" spans="1:4" ht="24.6" customHeight="1" thickBot="1" x14ac:dyDescent="0.25">
      <c r="A534" s="62" t="s">
        <v>1060</v>
      </c>
      <c r="B534" s="63" t="s">
        <v>1061</v>
      </c>
      <c r="C534" s="61"/>
      <c r="D534" s="61"/>
    </row>
    <row r="535" spans="1:4" ht="24.6" customHeight="1" thickBot="1" x14ac:dyDescent="0.25">
      <c r="A535" s="62" t="s">
        <v>1062</v>
      </c>
      <c r="B535" s="63" t="s">
        <v>1063</v>
      </c>
      <c r="C535" s="61"/>
      <c r="D535" s="61"/>
    </row>
    <row r="536" spans="1:4" ht="24.6" customHeight="1" thickBot="1" x14ac:dyDescent="0.25">
      <c r="A536" s="62" t="s">
        <v>1064</v>
      </c>
      <c r="B536" s="63" t="s">
        <v>1065</v>
      </c>
      <c r="C536" s="61"/>
      <c r="D536" s="61"/>
    </row>
    <row r="537" spans="1:4" ht="24.6" customHeight="1" thickBot="1" x14ac:dyDescent="0.25">
      <c r="A537" s="914" t="s">
        <v>1066</v>
      </c>
      <c r="B537" s="915"/>
      <c r="C537" s="61"/>
      <c r="D537" s="61"/>
    </row>
    <row r="538" spans="1:4" ht="24.6" customHeight="1" thickBot="1" x14ac:dyDescent="0.25">
      <c r="A538" s="914" t="s">
        <v>1067</v>
      </c>
      <c r="B538" s="915"/>
      <c r="C538" s="61"/>
      <c r="D538" s="61"/>
    </row>
    <row r="539" spans="1:4" ht="24.6" customHeight="1" thickBot="1" x14ac:dyDescent="0.25">
      <c r="A539" s="911" t="s">
        <v>956</v>
      </c>
      <c r="B539" s="912"/>
      <c r="C539" s="61"/>
      <c r="D539" s="61"/>
    </row>
    <row r="540" spans="1:4" ht="24.6" customHeight="1" thickBot="1" x14ac:dyDescent="0.25">
      <c r="A540" s="62" t="s">
        <v>1068</v>
      </c>
      <c r="B540" s="63" t="s">
        <v>1069</v>
      </c>
      <c r="C540" s="61"/>
      <c r="D540" s="61"/>
    </row>
    <row r="541" spans="1:4" ht="24.6" customHeight="1" thickBot="1" x14ac:dyDescent="0.25">
      <c r="A541" s="62" t="s">
        <v>1070</v>
      </c>
      <c r="B541" s="63" t="s">
        <v>1071</v>
      </c>
      <c r="C541" s="61"/>
      <c r="D541" s="61"/>
    </row>
    <row r="542" spans="1:4" ht="24.6" customHeight="1" thickBot="1" x14ac:dyDescent="0.25">
      <c r="A542" s="62" t="s">
        <v>1072</v>
      </c>
      <c r="B542" s="63" t="s">
        <v>1073</v>
      </c>
      <c r="C542" s="61"/>
      <c r="D542" s="61"/>
    </row>
    <row r="543" spans="1:4" ht="24.6" customHeight="1" thickBot="1" x14ac:dyDescent="0.25">
      <c r="A543" s="62" t="s">
        <v>1074</v>
      </c>
      <c r="B543" s="63" t="s">
        <v>1075</v>
      </c>
      <c r="C543" s="61"/>
      <c r="D543" s="61"/>
    </row>
    <row r="544" spans="1:4" ht="24.6" customHeight="1" thickBot="1" x14ac:dyDescent="0.25">
      <c r="A544" s="62" t="s">
        <v>1076</v>
      </c>
      <c r="B544" s="63" t="s">
        <v>1077</v>
      </c>
      <c r="C544" s="61"/>
      <c r="D544" s="61"/>
    </row>
    <row r="545" spans="1:4" ht="24.6" customHeight="1" thickBot="1" x14ac:dyDescent="0.25">
      <c r="A545" s="62" t="s">
        <v>1078</v>
      </c>
      <c r="B545" s="63" t="s">
        <v>1079</v>
      </c>
      <c r="C545" s="61"/>
      <c r="D545" s="61"/>
    </row>
    <row r="546" spans="1:4" ht="24.6" customHeight="1" thickBot="1" x14ac:dyDescent="0.25">
      <c r="A546" s="62" t="s">
        <v>1080</v>
      </c>
      <c r="B546" s="63" t="s">
        <v>1081</v>
      </c>
      <c r="C546" s="61"/>
      <c r="D546" s="61"/>
    </row>
    <row r="547" spans="1:4" ht="24.6" customHeight="1" thickBot="1" x14ac:dyDescent="0.25">
      <c r="A547" s="62" t="s">
        <v>1082</v>
      </c>
      <c r="B547" s="63" t="s">
        <v>1083</v>
      </c>
      <c r="C547" s="61"/>
      <c r="D547" s="61"/>
    </row>
    <row r="548" spans="1:4" ht="24.6" customHeight="1" thickBot="1" x14ac:dyDescent="0.25">
      <c r="A548" s="62" t="s">
        <v>1084</v>
      </c>
      <c r="B548" s="63" t="s">
        <v>929</v>
      </c>
      <c r="C548" s="61"/>
      <c r="D548" s="61"/>
    </row>
    <row r="549" spans="1:4" ht="24.6" customHeight="1" thickBot="1" x14ac:dyDescent="0.25">
      <c r="A549" s="62" t="s">
        <v>1085</v>
      </c>
      <c r="B549" s="63" t="s">
        <v>1086</v>
      </c>
      <c r="C549" s="61"/>
      <c r="D549" s="61"/>
    </row>
    <row r="550" spans="1:4" ht="24.6" customHeight="1" thickBot="1" x14ac:dyDescent="0.25">
      <c r="A550" s="62" t="s">
        <v>1087</v>
      </c>
      <c r="B550" s="63" t="s">
        <v>1088</v>
      </c>
      <c r="C550" s="61"/>
      <c r="D550" s="61"/>
    </row>
    <row r="551" spans="1:4" ht="24.6" customHeight="1" thickBot="1" x14ac:dyDescent="0.25">
      <c r="A551" s="62" t="s">
        <v>1089</v>
      </c>
      <c r="B551" s="63" t="s">
        <v>1090</v>
      </c>
      <c r="C551" s="61"/>
      <c r="D551" s="61"/>
    </row>
    <row r="552" spans="1:4" ht="24.6" customHeight="1" thickBot="1" x14ac:dyDescent="0.25">
      <c r="A552" s="911" t="s">
        <v>1091</v>
      </c>
      <c r="B552" s="912"/>
      <c r="C552" s="61"/>
      <c r="D552" s="61"/>
    </row>
    <row r="553" spans="1:4" ht="24.6" customHeight="1" thickBot="1" x14ac:dyDescent="0.25">
      <c r="A553" s="62" t="s">
        <v>1092</v>
      </c>
      <c r="B553" s="63" t="s">
        <v>185</v>
      </c>
      <c r="C553" s="61"/>
      <c r="D553" s="61"/>
    </row>
    <row r="554" spans="1:4" ht="24.6" customHeight="1" thickBot="1" x14ac:dyDescent="0.25">
      <c r="A554" s="62" t="s">
        <v>1093</v>
      </c>
      <c r="B554" s="63" t="s">
        <v>1094</v>
      </c>
      <c r="C554" s="61"/>
      <c r="D554" s="61"/>
    </row>
    <row r="555" spans="1:4" ht="24.6" customHeight="1" thickBot="1" x14ac:dyDescent="0.25">
      <c r="A555" s="62" t="s">
        <v>1095</v>
      </c>
      <c r="B555" s="63" t="s">
        <v>1096</v>
      </c>
      <c r="C555" s="61"/>
      <c r="D555" s="61"/>
    </row>
    <row r="556" spans="1:4" ht="24.6" customHeight="1" thickBot="1" x14ac:dyDescent="0.25">
      <c r="A556" s="62" t="s">
        <v>1097</v>
      </c>
      <c r="B556" s="63" t="s">
        <v>189</v>
      </c>
      <c r="C556" s="61"/>
      <c r="D556" s="61"/>
    </row>
    <row r="557" spans="1:4" ht="24.6" customHeight="1" thickBot="1" x14ac:dyDescent="0.25">
      <c r="A557" s="62" t="s">
        <v>1098</v>
      </c>
      <c r="B557" s="63" t="s">
        <v>191</v>
      </c>
      <c r="C557" s="61"/>
      <c r="D557" s="61"/>
    </row>
    <row r="558" spans="1:4" ht="24.6" customHeight="1" thickBot="1" x14ac:dyDescent="0.25">
      <c r="A558" s="62" t="s">
        <v>1099</v>
      </c>
      <c r="B558" s="63" t="s">
        <v>193</v>
      </c>
      <c r="C558" s="61"/>
      <c r="D558" s="61"/>
    </row>
    <row r="559" spans="1:4" ht="24.6" customHeight="1" thickBot="1" x14ac:dyDescent="0.25">
      <c r="A559" s="62" t="s">
        <v>1100</v>
      </c>
      <c r="B559" s="63" t="s">
        <v>195</v>
      </c>
      <c r="C559" s="61"/>
      <c r="D559" s="61"/>
    </row>
    <row r="560" spans="1:4" ht="24.6" customHeight="1" thickBot="1" x14ac:dyDescent="0.25">
      <c r="A560" s="911" t="s">
        <v>1101</v>
      </c>
      <c r="B560" s="912"/>
      <c r="C560" s="61"/>
      <c r="D560" s="61"/>
    </row>
    <row r="561" spans="1:4" ht="24.6" customHeight="1" thickBot="1" x14ac:dyDescent="0.25">
      <c r="A561" s="911" t="s">
        <v>1102</v>
      </c>
      <c r="B561" s="912"/>
      <c r="C561" s="61"/>
      <c r="D561" s="61"/>
    </row>
    <row r="562" spans="1:4" ht="24.6" customHeight="1" thickBot="1" x14ac:dyDescent="0.25">
      <c r="A562" s="62" t="s">
        <v>1103</v>
      </c>
      <c r="B562" s="63" t="s">
        <v>1104</v>
      </c>
      <c r="C562" s="61"/>
      <c r="D562" s="61"/>
    </row>
    <row r="563" spans="1:4" ht="24.6" customHeight="1" thickBot="1" x14ac:dyDescent="0.25">
      <c r="A563" s="911" t="s">
        <v>1105</v>
      </c>
      <c r="B563" s="912"/>
      <c r="C563" s="61"/>
      <c r="D563" s="61"/>
    </row>
    <row r="564" spans="1:4" ht="24.6" customHeight="1" thickBot="1" x14ac:dyDescent="0.25">
      <c r="A564" s="911" t="s">
        <v>1106</v>
      </c>
      <c r="B564" s="912"/>
      <c r="C564" s="61"/>
      <c r="D564" s="61"/>
    </row>
    <row r="565" spans="1:4" ht="24.6" customHeight="1" thickBot="1" x14ac:dyDescent="0.25">
      <c r="A565" s="911" t="s">
        <v>1107</v>
      </c>
      <c r="B565" s="912"/>
      <c r="C565" s="61"/>
      <c r="D565" s="61"/>
    </row>
    <row r="566" spans="1:4" ht="24.6" customHeight="1" thickBot="1" x14ac:dyDescent="0.25">
      <c r="A566" s="62" t="s">
        <v>1108</v>
      </c>
      <c r="B566" s="63" t="s">
        <v>1109</v>
      </c>
      <c r="C566" s="61"/>
      <c r="D566" s="61"/>
    </row>
    <row r="567" spans="1:4" ht="24.6" customHeight="1" thickBot="1" x14ac:dyDescent="0.25">
      <c r="A567" s="62" t="s">
        <v>1110</v>
      </c>
      <c r="B567" s="63" t="s">
        <v>1111</v>
      </c>
      <c r="C567" s="61"/>
      <c r="D567" s="61"/>
    </row>
    <row r="568" spans="1:4" ht="24.6" customHeight="1" thickBot="1" x14ac:dyDescent="0.25">
      <c r="A568" s="62" t="s">
        <v>1112</v>
      </c>
      <c r="B568" s="63" t="s">
        <v>1113</v>
      </c>
      <c r="C568" s="61"/>
      <c r="D568" s="61"/>
    </row>
    <row r="569" spans="1:4" ht="24.6" customHeight="1" thickBot="1" x14ac:dyDescent="0.25">
      <c r="A569" s="62" t="s">
        <v>1114</v>
      </c>
      <c r="B569" s="63" t="s">
        <v>1115</v>
      </c>
      <c r="C569" s="61"/>
      <c r="D569" s="61"/>
    </row>
    <row r="570" spans="1:4" ht="24.6" customHeight="1" thickBot="1" x14ac:dyDescent="0.25">
      <c r="A570" s="62" t="s">
        <v>1116</v>
      </c>
      <c r="B570" s="63" t="s">
        <v>1117</v>
      </c>
      <c r="C570" s="61"/>
      <c r="D570" s="61"/>
    </row>
    <row r="571" spans="1:4" ht="24.6" customHeight="1" thickBot="1" x14ac:dyDescent="0.25">
      <c r="A571" s="62" t="s">
        <v>1118</v>
      </c>
      <c r="B571" s="63" t="s">
        <v>1119</v>
      </c>
      <c r="C571" s="61"/>
      <c r="D571" s="61"/>
    </row>
    <row r="572" spans="1:4" ht="24.6" customHeight="1" thickBot="1" x14ac:dyDescent="0.25">
      <c r="A572" s="62" t="s">
        <v>1120</v>
      </c>
      <c r="B572" s="63" t="s">
        <v>1121</v>
      </c>
      <c r="C572" s="61"/>
      <c r="D572" s="61"/>
    </row>
    <row r="573" spans="1:4" ht="24.6" customHeight="1" thickBot="1" x14ac:dyDescent="0.25">
      <c r="A573" s="62" t="s">
        <v>1122</v>
      </c>
      <c r="B573" s="63" t="s">
        <v>1123</v>
      </c>
      <c r="C573" s="61"/>
      <c r="D573" s="61"/>
    </row>
    <row r="574" spans="1:4" ht="24.6" customHeight="1" thickBot="1" x14ac:dyDescent="0.25">
      <c r="A574" s="911" t="s">
        <v>1124</v>
      </c>
      <c r="B574" s="912"/>
      <c r="C574" s="61"/>
      <c r="D574" s="61"/>
    </row>
    <row r="575" spans="1:4" ht="24.6" customHeight="1" thickBot="1" x14ac:dyDescent="0.25">
      <c r="A575" s="62" t="s">
        <v>1125</v>
      </c>
      <c r="B575" s="63" t="s">
        <v>1126</v>
      </c>
      <c r="C575" s="61"/>
      <c r="D575" s="61"/>
    </row>
    <row r="576" spans="1:4" ht="24.6" customHeight="1" thickBot="1" x14ac:dyDescent="0.25">
      <c r="A576" s="62" t="s">
        <v>1127</v>
      </c>
      <c r="B576" s="63" t="s">
        <v>1128</v>
      </c>
      <c r="C576" s="61"/>
      <c r="D576" s="61"/>
    </row>
    <row r="577" spans="1:4" ht="24.6" customHeight="1" thickBot="1" x14ac:dyDescent="0.25">
      <c r="A577" s="62" t="s">
        <v>1129</v>
      </c>
      <c r="B577" s="63" t="s">
        <v>1130</v>
      </c>
      <c r="C577" s="61"/>
      <c r="D577" s="61"/>
    </row>
    <row r="578" spans="1:4" ht="24.6" customHeight="1" thickBot="1" x14ac:dyDescent="0.25">
      <c r="A578" s="62" t="s">
        <v>1131</v>
      </c>
      <c r="B578" s="63" t="s">
        <v>1132</v>
      </c>
      <c r="C578" s="61"/>
      <c r="D578" s="61"/>
    </row>
    <row r="579" spans="1:4" ht="24.6" customHeight="1" thickBot="1" x14ac:dyDescent="0.25">
      <c r="A579" s="62" t="s">
        <v>1133</v>
      </c>
      <c r="B579" s="63" t="s">
        <v>1134</v>
      </c>
      <c r="C579" s="61"/>
      <c r="D579" s="61"/>
    </row>
    <row r="580" spans="1:4" ht="24.6" customHeight="1" thickBot="1" x14ac:dyDescent="0.25">
      <c r="A580" s="62" t="s">
        <v>1135</v>
      </c>
      <c r="B580" s="63" t="s">
        <v>1136</v>
      </c>
      <c r="C580" s="61"/>
      <c r="D580" s="61"/>
    </row>
    <row r="581" spans="1:4" ht="24.6" customHeight="1" thickBot="1" x14ac:dyDescent="0.25">
      <c r="A581" s="62" t="s">
        <v>1137</v>
      </c>
      <c r="B581" s="63" t="s">
        <v>1138</v>
      </c>
      <c r="C581" s="61"/>
      <c r="D581" s="61"/>
    </row>
    <row r="582" spans="1:4" ht="24.6" customHeight="1" thickBot="1" x14ac:dyDescent="0.25">
      <c r="A582" s="62" t="s">
        <v>1139</v>
      </c>
      <c r="B582" s="63" t="s">
        <v>1140</v>
      </c>
      <c r="C582" s="61"/>
      <c r="D582" s="61"/>
    </row>
    <row r="583" spans="1:4" ht="24.6" customHeight="1" thickBot="1" x14ac:dyDescent="0.25">
      <c r="A583" s="62" t="s">
        <v>1141</v>
      </c>
      <c r="B583" s="63" t="s">
        <v>1142</v>
      </c>
      <c r="C583" s="61"/>
      <c r="D583" s="61"/>
    </row>
    <row r="584" spans="1:4" ht="24.6" customHeight="1" thickBot="1" x14ac:dyDescent="0.25">
      <c r="A584" s="911" t="s">
        <v>1143</v>
      </c>
      <c r="B584" s="912"/>
      <c r="C584" s="61"/>
      <c r="D584" s="61"/>
    </row>
    <row r="585" spans="1:4" ht="24.6" customHeight="1" thickBot="1" x14ac:dyDescent="0.25">
      <c r="A585" s="62" t="s">
        <v>1144</v>
      </c>
      <c r="B585" s="63" t="s">
        <v>1145</v>
      </c>
      <c r="C585" s="61"/>
      <c r="D585" s="61"/>
    </row>
    <row r="586" spans="1:4" ht="24.6" customHeight="1" thickBot="1" x14ac:dyDescent="0.25">
      <c r="A586" s="62" t="s">
        <v>1146</v>
      </c>
      <c r="B586" s="63" t="s">
        <v>1147</v>
      </c>
      <c r="C586" s="61"/>
      <c r="D586" s="61"/>
    </row>
    <row r="587" spans="1:4" ht="24.6" customHeight="1" thickBot="1" x14ac:dyDescent="0.25">
      <c r="A587" s="62" t="s">
        <v>1148</v>
      </c>
      <c r="B587" s="63" t="s">
        <v>1149</v>
      </c>
      <c r="C587" s="61"/>
      <c r="D587" s="61"/>
    </row>
    <row r="588" spans="1:4" ht="24.6" customHeight="1" thickBot="1" x14ac:dyDescent="0.25">
      <c r="A588" s="911" t="s">
        <v>1124</v>
      </c>
      <c r="B588" s="912"/>
      <c r="C588" s="61"/>
      <c r="D588" s="61"/>
    </row>
    <row r="589" spans="1:4" ht="24.6" customHeight="1" thickBot="1" x14ac:dyDescent="0.25">
      <c r="A589" s="62" t="s">
        <v>1150</v>
      </c>
      <c r="B589" s="63" t="s">
        <v>1126</v>
      </c>
      <c r="C589" s="61"/>
      <c r="D589" s="61"/>
    </row>
    <row r="590" spans="1:4" ht="24.6" customHeight="1" thickBot="1" x14ac:dyDescent="0.25">
      <c r="A590" s="62" t="s">
        <v>1151</v>
      </c>
      <c r="B590" s="63" t="s">
        <v>1130</v>
      </c>
      <c r="C590" s="61"/>
      <c r="D590" s="61"/>
    </row>
    <row r="591" spans="1:4" ht="24.6" customHeight="1" thickBot="1" x14ac:dyDescent="0.25">
      <c r="A591" s="911" t="s">
        <v>1152</v>
      </c>
      <c r="B591" s="912"/>
      <c r="C591" s="61"/>
      <c r="D591" s="61"/>
    </row>
    <row r="592" spans="1:4" ht="24.6" customHeight="1" thickBot="1" x14ac:dyDescent="0.25">
      <c r="A592" s="911" t="s">
        <v>1153</v>
      </c>
      <c r="B592" s="912"/>
      <c r="C592" s="61"/>
      <c r="D592" s="61"/>
    </row>
    <row r="593" spans="1:4" ht="24.6" customHeight="1" thickBot="1" x14ac:dyDescent="0.25">
      <c r="A593" s="62" t="s">
        <v>1154</v>
      </c>
      <c r="B593" s="63" t="s">
        <v>1155</v>
      </c>
      <c r="C593" s="61"/>
      <c r="D593" s="61"/>
    </row>
    <row r="594" spans="1:4" ht="24.6" customHeight="1" thickBot="1" x14ac:dyDescent="0.25">
      <c r="A594" s="911" t="s">
        <v>1107</v>
      </c>
      <c r="B594" s="912"/>
      <c r="C594" s="61"/>
      <c r="D594" s="61"/>
    </row>
    <row r="595" spans="1:4" ht="24.6" customHeight="1" thickBot="1" x14ac:dyDescent="0.25">
      <c r="A595" s="62" t="s">
        <v>1156</v>
      </c>
      <c r="B595" s="63" t="s">
        <v>1157</v>
      </c>
      <c r="C595" s="61"/>
      <c r="D595" s="61"/>
    </row>
    <row r="596" spans="1:4" ht="24.6" customHeight="1" thickBot="1" x14ac:dyDescent="0.25">
      <c r="A596" s="62" t="s">
        <v>1158</v>
      </c>
      <c r="B596" s="63" t="s">
        <v>1159</v>
      </c>
      <c r="C596" s="61"/>
      <c r="D596" s="61"/>
    </row>
    <row r="597" spans="1:4" ht="24.6" customHeight="1" thickBot="1" x14ac:dyDescent="0.25">
      <c r="A597" s="62" t="s">
        <v>1160</v>
      </c>
      <c r="B597" s="63" t="s">
        <v>1161</v>
      </c>
      <c r="C597" s="61"/>
      <c r="D597" s="61"/>
    </row>
    <row r="598" spans="1:4" ht="24.6" customHeight="1" thickBot="1" x14ac:dyDescent="0.25">
      <c r="A598" s="62" t="s">
        <v>1162</v>
      </c>
      <c r="B598" s="63" t="s">
        <v>1163</v>
      </c>
      <c r="C598" s="61"/>
      <c r="D598" s="61"/>
    </row>
    <row r="599" spans="1:4" ht="24.6" customHeight="1" thickBot="1" x14ac:dyDescent="0.25">
      <c r="A599" s="911" t="s">
        <v>1124</v>
      </c>
      <c r="B599" s="912"/>
      <c r="C599" s="61"/>
      <c r="D599" s="61"/>
    </row>
    <row r="600" spans="1:4" ht="24.6" customHeight="1" thickBot="1" x14ac:dyDescent="0.25">
      <c r="A600" s="62" t="s">
        <v>1164</v>
      </c>
      <c r="B600" s="63" t="s">
        <v>1165</v>
      </c>
      <c r="C600" s="61"/>
      <c r="D600" s="61"/>
    </row>
    <row r="601" spans="1:4" ht="24.6" customHeight="1" thickBot="1" x14ac:dyDescent="0.25">
      <c r="A601" s="62" t="s">
        <v>1166</v>
      </c>
      <c r="B601" s="63" t="s">
        <v>1167</v>
      </c>
      <c r="C601" s="61"/>
      <c r="D601" s="61"/>
    </row>
    <row r="602" spans="1:4" ht="24.6" customHeight="1" thickBot="1" x14ac:dyDescent="0.25">
      <c r="A602" s="911" t="s">
        <v>1168</v>
      </c>
      <c r="B602" s="912"/>
      <c r="C602" s="61"/>
      <c r="D602" s="61"/>
    </row>
    <row r="603" spans="1:4" ht="24.6" customHeight="1" thickBot="1" x14ac:dyDescent="0.25">
      <c r="A603" s="911" t="s">
        <v>1169</v>
      </c>
      <c r="B603" s="912"/>
      <c r="C603" s="61"/>
      <c r="D603" s="61"/>
    </row>
    <row r="604" spans="1:4" ht="24.6" customHeight="1" thickBot="1" x14ac:dyDescent="0.25">
      <c r="A604" s="911" t="s">
        <v>1170</v>
      </c>
      <c r="B604" s="912"/>
      <c r="C604" s="61"/>
      <c r="D604" s="61"/>
    </row>
    <row r="605" spans="1:4" ht="24.6" customHeight="1" thickBot="1" x14ac:dyDescent="0.25">
      <c r="A605" s="62" t="s">
        <v>1171</v>
      </c>
      <c r="B605" s="63" t="s">
        <v>1172</v>
      </c>
      <c r="C605" s="61"/>
      <c r="D605" s="61"/>
    </row>
    <row r="606" spans="1:4" ht="24.6" customHeight="1" thickBot="1" x14ac:dyDescent="0.25">
      <c r="A606" s="911" t="s">
        <v>1173</v>
      </c>
      <c r="B606" s="912"/>
      <c r="C606" s="61"/>
      <c r="D606" s="61"/>
    </row>
    <row r="607" spans="1:4" ht="24.6" customHeight="1" thickBot="1" x14ac:dyDescent="0.25">
      <c r="A607" s="62" t="s">
        <v>1174</v>
      </c>
      <c r="B607" s="63" t="s">
        <v>1175</v>
      </c>
      <c r="C607" s="61"/>
      <c r="D607" s="61"/>
    </row>
    <row r="608" spans="1:4" ht="24.6" customHeight="1" thickBot="1" x14ac:dyDescent="0.25">
      <c r="A608" s="62" t="s">
        <v>1176</v>
      </c>
      <c r="B608" s="63" t="s">
        <v>1177</v>
      </c>
      <c r="C608" s="61"/>
      <c r="D608" s="61"/>
    </row>
    <row r="609" spans="1:4" ht="24.6" customHeight="1" thickBot="1" x14ac:dyDescent="0.25">
      <c r="A609" s="62" t="s">
        <v>1178</v>
      </c>
      <c r="B609" s="63" t="s">
        <v>1179</v>
      </c>
      <c r="C609" s="61"/>
      <c r="D609" s="61"/>
    </row>
    <row r="610" spans="1:4" ht="24.6" customHeight="1" thickBot="1" x14ac:dyDescent="0.25">
      <c r="A610" s="62" t="s">
        <v>1180</v>
      </c>
      <c r="B610" s="63" t="s">
        <v>1181</v>
      </c>
      <c r="C610" s="61"/>
      <c r="D610" s="61"/>
    </row>
    <row r="611" spans="1:4" ht="24.6" customHeight="1" thickBot="1" x14ac:dyDescent="0.25">
      <c r="A611" s="911" t="s">
        <v>1107</v>
      </c>
      <c r="B611" s="912"/>
      <c r="C611" s="61"/>
      <c r="D611" s="61"/>
    </row>
    <row r="612" spans="1:4" ht="24.6" customHeight="1" thickBot="1" x14ac:dyDescent="0.25">
      <c r="A612" s="62" t="s">
        <v>1182</v>
      </c>
      <c r="B612" s="63" t="s">
        <v>1183</v>
      </c>
      <c r="C612" s="61"/>
      <c r="D612" s="61"/>
    </row>
    <row r="613" spans="1:4" ht="24.6" customHeight="1" thickBot="1" x14ac:dyDescent="0.25">
      <c r="A613" s="62" t="s">
        <v>1184</v>
      </c>
      <c r="B613" s="63" t="s">
        <v>1185</v>
      </c>
      <c r="C613" s="61"/>
      <c r="D613" s="61"/>
    </row>
    <row r="614" spans="1:4" ht="24.6" customHeight="1" thickBot="1" x14ac:dyDescent="0.25">
      <c r="A614" s="62" t="s">
        <v>1186</v>
      </c>
      <c r="B614" s="63" t="s">
        <v>1187</v>
      </c>
      <c r="C614" s="61"/>
      <c r="D614" s="61"/>
    </row>
    <row r="615" spans="1:4" ht="24.6" customHeight="1" thickBot="1" x14ac:dyDescent="0.25">
      <c r="A615" s="62" t="s">
        <v>1188</v>
      </c>
      <c r="B615" s="63" t="s">
        <v>1189</v>
      </c>
      <c r="C615" s="61"/>
      <c r="D615" s="61"/>
    </row>
    <row r="616" spans="1:4" ht="24.6" customHeight="1" thickBot="1" x14ac:dyDescent="0.25">
      <c r="A616" s="911" t="s">
        <v>1124</v>
      </c>
      <c r="B616" s="912"/>
      <c r="C616" s="61"/>
      <c r="D616" s="61"/>
    </row>
    <row r="617" spans="1:4" ht="24.6" customHeight="1" thickBot="1" x14ac:dyDescent="0.25">
      <c r="A617" s="62" t="s">
        <v>1190</v>
      </c>
      <c r="B617" s="63" t="s">
        <v>1191</v>
      </c>
      <c r="C617" s="61"/>
      <c r="D617" s="61"/>
    </row>
    <row r="618" spans="1:4" ht="24.6" customHeight="1" thickBot="1" x14ac:dyDescent="0.25">
      <c r="A618" s="62" t="s">
        <v>1192</v>
      </c>
      <c r="B618" s="63" t="s">
        <v>1193</v>
      </c>
      <c r="C618" s="61"/>
      <c r="D618" s="61"/>
    </row>
    <row r="619" spans="1:4" ht="24.6" customHeight="1" thickBot="1" x14ac:dyDescent="0.25">
      <c r="A619" s="911" t="s">
        <v>1194</v>
      </c>
      <c r="B619" s="912"/>
      <c r="C619" s="61"/>
      <c r="D619" s="61"/>
    </row>
    <row r="620" spans="1:4" ht="24.6" customHeight="1" thickBot="1" x14ac:dyDescent="0.25">
      <c r="A620" s="911" t="s">
        <v>1195</v>
      </c>
      <c r="B620" s="913"/>
      <c r="C620" s="61"/>
      <c r="D620" s="61"/>
    </row>
    <row r="621" spans="1:4" ht="24.6" customHeight="1" thickBot="1" x14ac:dyDescent="0.25">
      <c r="A621" s="911" t="s">
        <v>1107</v>
      </c>
      <c r="B621" s="913"/>
      <c r="C621" s="61"/>
      <c r="D621" s="61"/>
    </row>
    <row r="622" spans="1:4" ht="24.6" customHeight="1" thickBot="1" x14ac:dyDescent="0.25">
      <c r="A622" s="62" t="s">
        <v>1196</v>
      </c>
      <c r="B622" s="63" t="s">
        <v>1149</v>
      </c>
      <c r="C622" s="61"/>
      <c r="D622" s="61"/>
    </row>
    <row r="623" spans="1:4" ht="24.6" customHeight="1" thickBot="1" x14ac:dyDescent="0.25">
      <c r="A623" s="62" t="s">
        <v>1197</v>
      </c>
      <c r="B623" s="63" t="s">
        <v>1198</v>
      </c>
      <c r="C623" s="61"/>
      <c r="D623" s="61"/>
    </row>
    <row r="624" spans="1:4" ht="24.6" customHeight="1" thickBot="1" x14ac:dyDescent="0.25">
      <c r="A624" s="62" t="s">
        <v>1199</v>
      </c>
      <c r="B624" s="63" t="s">
        <v>1200</v>
      </c>
      <c r="C624" s="61"/>
      <c r="D624" s="61"/>
    </row>
    <row r="625" spans="1:4" ht="24.6" customHeight="1" thickBot="1" x14ac:dyDescent="0.25">
      <c r="A625" s="62" t="s">
        <v>1201</v>
      </c>
      <c r="B625" s="63" t="s">
        <v>1202</v>
      </c>
      <c r="C625" s="61"/>
      <c r="D625" s="61"/>
    </row>
    <row r="626" spans="1:4" ht="24.6" customHeight="1" thickBot="1" x14ac:dyDescent="0.25">
      <c r="A626" s="911" t="s">
        <v>1203</v>
      </c>
      <c r="B626" s="912"/>
      <c r="C626" s="61"/>
      <c r="D626" s="61"/>
    </row>
    <row r="627" spans="1:4" ht="24.6" customHeight="1" thickBot="1" x14ac:dyDescent="0.25">
      <c r="A627" s="911" t="s">
        <v>1204</v>
      </c>
      <c r="B627" s="913"/>
      <c r="C627" s="61"/>
      <c r="D627" s="61"/>
    </row>
    <row r="628" spans="1:4" ht="24.6" customHeight="1" thickBot="1" x14ac:dyDescent="0.25">
      <c r="A628" s="911" t="s">
        <v>1170</v>
      </c>
      <c r="B628" s="913"/>
      <c r="C628" s="61"/>
      <c r="D628" s="61"/>
    </row>
    <row r="629" spans="1:4" ht="24.6" customHeight="1" thickBot="1" x14ac:dyDescent="0.25">
      <c r="A629" s="62" t="s">
        <v>1205</v>
      </c>
      <c r="B629" s="63" t="s">
        <v>1206</v>
      </c>
      <c r="C629" s="61"/>
      <c r="D629" s="61"/>
    </row>
    <row r="630" spans="1:4" ht="24.6" customHeight="1" thickBot="1" x14ac:dyDescent="0.25">
      <c r="A630" s="62" t="s">
        <v>1207</v>
      </c>
      <c r="B630" s="63" t="s">
        <v>1208</v>
      </c>
      <c r="C630" s="61"/>
      <c r="D630" s="61"/>
    </row>
    <row r="631" spans="1:4" ht="24.6" customHeight="1" thickBot="1" x14ac:dyDescent="0.25">
      <c r="A631" s="911" t="s">
        <v>1209</v>
      </c>
      <c r="B631" s="912"/>
      <c r="C631" s="61"/>
      <c r="D631" s="61"/>
    </row>
    <row r="632" spans="1:4" ht="24.6" customHeight="1" thickBot="1" x14ac:dyDescent="0.25">
      <c r="A632" s="62" t="s">
        <v>1210</v>
      </c>
      <c r="B632" s="63" t="s">
        <v>1211</v>
      </c>
      <c r="C632" s="61"/>
      <c r="D632" s="61"/>
    </row>
    <row r="633" spans="1:4" ht="24.6" customHeight="1" thickBot="1" x14ac:dyDescent="0.25">
      <c r="A633" s="911" t="s">
        <v>1212</v>
      </c>
      <c r="B633" s="912"/>
      <c r="C633" s="61"/>
      <c r="D633" s="61"/>
    </row>
    <row r="634" spans="1:4" ht="24.6" customHeight="1" thickBot="1" x14ac:dyDescent="0.25">
      <c r="A634" s="62" t="s">
        <v>1213</v>
      </c>
      <c r="B634" s="63" t="s">
        <v>1214</v>
      </c>
      <c r="C634" s="61"/>
      <c r="D634" s="61"/>
    </row>
    <row r="635" spans="1:4" ht="24.6" customHeight="1" thickBot="1" x14ac:dyDescent="0.25">
      <c r="A635" s="911" t="s">
        <v>1173</v>
      </c>
      <c r="B635" s="912"/>
      <c r="C635" s="61"/>
      <c r="D635" s="61"/>
    </row>
    <row r="636" spans="1:4" ht="24.6" customHeight="1" thickBot="1" x14ac:dyDescent="0.25">
      <c r="A636" s="62" t="s">
        <v>1215</v>
      </c>
      <c r="B636" s="63" t="s">
        <v>1216</v>
      </c>
      <c r="C636" s="61"/>
      <c r="D636" s="61"/>
    </row>
    <row r="637" spans="1:4" ht="24.6" customHeight="1" thickBot="1" x14ac:dyDescent="0.25">
      <c r="A637" s="62" t="s">
        <v>1217</v>
      </c>
      <c r="B637" s="63" t="s">
        <v>1218</v>
      </c>
      <c r="C637" s="61"/>
      <c r="D637" s="61"/>
    </row>
    <row r="638" spans="1:4" ht="24.6" customHeight="1" thickBot="1" x14ac:dyDescent="0.25">
      <c r="A638" s="911" t="s">
        <v>1107</v>
      </c>
      <c r="B638" s="912"/>
      <c r="C638" s="61"/>
      <c r="D638" s="61"/>
    </row>
    <row r="639" spans="1:4" ht="24.6" customHeight="1" thickBot="1" x14ac:dyDescent="0.25">
      <c r="A639" s="62" t="s">
        <v>1219</v>
      </c>
      <c r="B639" s="63" t="s">
        <v>1220</v>
      </c>
      <c r="C639" s="61"/>
      <c r="D639" s="61"/>
    </row>
    <row r="640" spans="1:4" ht="24.6" customHeight="1" thickBot="1" x14ac:dyDescent="0.25">
      <c r="A640" s="62" t="s">
        <v>1221</v>
      </c>
      <c r="B640" s="63" t="s">
        <v>1222</v>
      </c>
      <c r="C640" s="61"/>
      <c r="D640" s="61"/>
    </row>
    <row r="641" spans="1:4" ht="24.6" customHeight="1" thickBot="1" x14ac:dyDescent="0.25">
      <c r="A641" s="911" t="s">
        <v>1124</v>
      </c>
      <c r="B641" s="912"/>
      <c r="C641" s="61"/>
      <c r="D641" s="61"/>
    </row>
    <row r="642" spans="1:4" ht="24.6" customHeight="1" thickBot="1" x14ac:dyDescent="0.25">
      <c r="A642" s="62" t="s">
        <v>1223</v>
      </c>
      <c r="B642" s="63" t="s">
        <v>1224</v>
      </c>
      <c r="C642" s="61"/>
      <c r="D642" s="61"/>
    </row>
    <row r="643" spans="1:4" ht="24.6" customHeight="1" thickBot="1" x14ac:dyDescent="0.25">
      <c r="A643" s="911" t="s">
        <v>1225</v>
      </c>
      <c r="B643" s="912"/>
      <c r="C643" s="61"/>
      <c r="D643" s="61"/>
    </row>
    <row r="644" spans="1:4" ht="24.6" customHeight="1" thickBot="1" x14ac:dyDescent="0.25">
      <c r="A644" s="62" t="s">
        <v>1226</v>
      </c>
      <c r="B644" s="66" t="s">
        <v>1227</v>
      </c>
      <c r="C644" s="61"/>
      <c r="D644" s="61"/>
    </row>
    <row r="645" spans="1:4" ht="24.6" customHeight="1" thickBot="1" x14ac:dyDescent="0.25">
      <c r="A645" s="911" t="s">
        <v>1212</v>
      </c>
      <c r="B645" s="912"/>
      <c r="C645" s="61"/>
      <c r="D645" s="61"/>
    </row>
    <row r="646" spans="1:4" ht="24.6" customHeight="1" thickBot="1" x14ac:dyDescent="0.25">
      <c r="A646" s="62" t="s">
        <v>1228</v>
      </c>
      <c r="B646" s="63" t="s">
        <v>1229</v>
      </c>
      <c r="C646" s="61"/>
      <c r="D646" s="61"/>
    </row>
    <row r="647" spans="1:4" ht="24.6" customHeight="1" thickBot="1" x14ac:dyDescent="0.25">
      <c r="A647" s="911" t="s">
        <v>1173</v>
      </c>
      <c r="B647" s="912"/>
      <c r="C647" s="61"/>
      <c r="D647" s="61"/>
    </row>
    <row r="648" spans="1:4" ht="24.6" customHeight="1" thickBot="1" x14ac:dyDescent="0.25">
      <c r="A648" s="62" t="s">
        <v>1230</v>
      </c>
      <c r="B648" s="63" t="s">
        <v>1231</v>
      </c>
      <c r="C648" s="61"/>
      <c r="D648" s="61"/>
    </row>
    <row r="649" spans="1:4" ht="24.6" customHeight="1" thickBot="1" x14ac:dyDescent="0.25">
      <c r="A649" s="62" t="s">
        <v>1232</v>
      </c>
      <c r="B649" s="63" t="s">
        <v>1233</v>
      </c>
      <c r="C649" s="61"/>
      <c r="D649" s="61"/>
    </row>
    <row r="650" spans="1:4" ht="24.6" customHeight="1" thickBot="1" x14ac:dyDescent="0.25">
      <c r="A650" s="911" t="s">
        <v>1107</v>
      </c>
      <c r="B650" s="912"/>
      <c r="C650" s="61"/>
      <c r="D650" s="61"/>
    </row>
    <row r="651" spans="1:4" ht="24.6" customHeight="1" thickBot="1" x14ac:dyDescent="0.25">
      <c r="A651" s="62" t="s">
        <v>1234</v>
      </c>
      <c r="B651" s="63" t="s">
        <v>1235</v>
      </c>
      <c r="C651" s="61"/>
      <c r="D651" s="61"/>
    </row>
    <row r="652" spans="1:4" ht="24.6" customHeight="1" thickBot="1" x14ac:dyDescent="0.25">
      <c r="A652" s="918" t="s">
        <v>1236</v>
      </c>
      <c r="B652" s="919"/>
      <c r="C652" s="61"/>
      <c r="D652" s="61"/>
    </row>
    <row r="653" spans="1:4" ht="24.6" customHeight="1" thickBot="1" x14ac:dyDescent="0.25">
      <c r="A653" s="911" t="s">
        <v>1237</v>
      </c>
      <c r="B653" s="912"/>
      <c r="C653" s="61"/>
      <c r="D653" s="61"/>
    </row>
    <row r="654" spans="1:4" ht="24.6" customHeight="1" thickBot="1" x14ac:dyDescent="0.25">
      <c r="A654" s="911" t="s">
        <v>1238</v>
      </c>
      <c r="B654" s="912"/>
      <c r="C654" s="61"/>
      <c r="D654" s="61"/>
    </row>
    <row r="655" spans="1:4" ht="24.6" customHeight="1" x14ac:dyDescent="0.25">
      <c r="A655" s="922" t="s">
        <v>1239</v>
      </c>
      <c r="B655" s="923"/>
      <c r="C655" s="61"/>
      <c r="D655" s="67"/>
    </row>
    <row r="656" spans="1:4" ht="24.6" customHeight="1" thickBot="1" x14ac:dyDescent="0.25">
      <c r="A656" s="62" t="s">
        <v>1240</v>
      </c>
      <c r="B656" s="63" t="s">
        <v>1241</v>
      </c>
      <c r="C656" s="61"/>
      <c r="D656" s="61"/>
    </row>
    <row r="657" spans="1:4" ht="24.6" customHeight="1" thickBot="1" x14ac:dyDescent="0.25">
      <c r="A657" s="911" t="s">
        <v>1209</v>
      </c>
      <c r="B657" s="912"/>
      <c r="C657" s="61"/>
      <c r="D657" s="61"/>
    </row>
    <row r="658" spans="1:4" ht="24.6" customHeight="1" thickBot="1" x14ac:dyDescent="0.25">
      <c r="A658" s="62" t="s">
        <v>1242</v>
      </c>
      <c r="B658" s="63" t="s">
        <v>1243</v>
      </c>
      <c r="C658" s="61"/>
      <c r="D658" s="61"/>
    </row>
    <row r="659" spans="1:4" ht="24.6" customHeight="1" thickBot="1" x14ac:dyDescent="0.25">
      <c r="A659" s="62" t="s">
        <v>1244</v>
      </c>
      <c r="B659" s="63" t="s">
        <v>1245</v>
      </c>
      <c r="C659" s="61"/>
      <c r="D659" s="61"/>
    </row>
    <row r="660" spans="1:4" ht="24.6" customHeight="1" thickBot="1" x14ac:dyDescent="0.25">
      <c r="A660" s="911" t="s">
        <v>1107</v>
      </c>
      <c r="B660" s="912"/>
      <c r="C660" s="61"/>
      <c r="D660" s="61"/>
    </row>
    <row r="661" spans="1:4" ht="24.6" customHeight="1" thickBot="1" x14ac:dyDescent="0.25">
      <c r="A661" s="62" t="s">
        <v>1246</v>
      </c>
      <c r="B661" s="63" t="s">
        <v>1247</v>
      </c>
      <c r="C661" s="61"/>
      <c r="D661" s="61"/>
    </row>
    <row r="662" spans="1:4" ht="24.6" customHeight="1" thickBot="1" x14ac:dyDescent="0.25">
      <c r="A662" s="62" t="s">
        <v>1248</v>
      </c>
      <c r="B662" s="63" t="s">
        <v>1249</v>
      </c>
      <c r="C662" s="61"/>
      <c r="D662" s="61"/>
    </row>
    <row r="663" spans="1:4" ht="24.6" customHeight="1" thickBot="1" x14ac:dyDescent="0.25">
      <c r="A663" s="914" t="s">
        <v>1250</v>
      </c>
      <c r="B663" s="915"/>
      <c r="C663" s="61"/>
      <c r="D663" s="61"/>
    </row>
    <row r="664" spans="1:4" ht="24.6" customHeight="1" thickBot="1" x14ac:dyDescent="0.25">
      <c r="A664" s="911" t="s">
        <v>1251</v>
      </c>
      <c r="B664" s="912"/>
      <c r="C664" s="61"/>
      <c r="D664" s="61"/>
    </row>
    <row r="665" spans="1:4" ht="24.6" customHeight="1" thickBot="1" x14ac:dyDescent="0.25">
      <c r="A665" s="62" t="s">
        <v>1252</v>
      </c>
      <c r="B665" s="63" t="s">
        <v>1253</v>
      </c>
      <c r="C665" s="61"/>
      <c r="D665" s="61"/>
    </row>
    <row r="666" spans="1:4" ht="24.6" customHeight="1" thickBot="1" x14ac:dyDescent="0.25">
      <c r="A666" s="62" t="s">
        <v>1254</v>
      </c>
      <c r="B666" s="63" t="s">
        <v>1255</v>
      </c>
      <c r="C666" s="61"/>
      <c r="D666" s="61"/>
    </row>
    <row r="667" spans="1:4" ht="24.6" customHeight="1" thickBot="1" x14ac:dyDescent="0.25">
      <c r="A667" s="62" t="s">
        <v>1256</v>
      </c>
      <c r="B667" s="63" t="s">
        <v>1257</v>
      </c>
      <c r="C667" s="61"/>
      <c r="D667" s="61"/>
    </row>
    <row r="668" spans="1:4" ht="24.6" customHeight="1" thickBot="1" x14ac:dyDescent="0.25">
      <c r="A668" s="62" t="s">
        <v>1258</v>
      </c>
      <c r="B668" s="63" t="s">
        <v>1259</v>
      </c>
      <c r="C668" s="61"/>
      <c r="D668" s="61"/>
    </row>
    <row r="669" spans="1:4" ht="24.6" customHeight="1" thickBot="1" x14ac:dyDescent="0.25">
      <c r="A669" s="62" t="s">
        <v>1260</v>
      </c>
      <c r="B669" s="63" t="s">
        <v>1261</v>
      </c>
      <c r="C669" s="61"/>
      <c r="D669" s="61"/>
    </row>
    <row r="670" spans="1:4" ht="24.6" customHeight="1" x14ac:dyDescent="0.25">
      <c r="A670" s="920" t="s">
        <v>1262</v>
      </c>
      <c r="B670" s="921"/>
      <c r="C670" s="61"/>
      <c r="D670" s="67"/>
    </row>
    <row r="671" spans="1:4" ht="24.6" customHeight="1" thickBot="1" x14ac:dyDescent="0.25">
      <c r="A671" s="916" t="s">
        <v>415</v>
      </c>
      <c r="B671" s="917"/>
      <c r="C671" s="61"/>
      <c r="D671" s="61"/>
    </row>
    <row r="672" spans="1:4" ht="24.6" customHeight="1" thickBot="1" x14ac:dyDescent="0.25">
      <c r="A672" s="911" t="s">
        <v>140</v>
      </c>
      <c r="B672" s="912"/>
      <c r="C672" s="61"/>
      <c r="D672" s="61"/>
    </row>
    <row r="673" spans="1:4" ht="24.6" customHeight="1" thickBot="1" x14ac:dyDescent="0.25">
      <c r="A673" s="62" t="s">
        <v>1263</v>
      </c>
      <c r="B673" s="63" t="s">
        <v>954</v>
      </c>
      <c r="C673" s="61"/>
      <c r="D673" s="61"/>
    </row>
    <row r="674" spans="1:4" ht="24.6" customHeight="1" thickBot="1" x14ac:dyDescent="0.25">
      <c r="A674" s="62" t="s">
        <v>1264</v>
      </c>
      <c r="B674" s="63" t="s">
        <v>1071</v>
      </c>
      <c r="C674" s="61"/>
      <c r="D674" s="61"/>
    </row>
    <row r="675" spans="1:4" ht="24.6" customHeight="1" thickBot="1" x14ac:dyDescent="0.25">
      <c r="A675" s="62" t="s">
        <v>1265</v>
      </c>
      <c r="B675" s="63" t="s">
        <v>1073</v>
      </c>
      <c r="C675" s="61"/>
      <c r="D675" s="61"/>
    </row>
    <row r="676" spans="1:4" ht="24.6" customHeight="1" thickBot="1" x14ac:dyDescent="0.25">
      <c r="A676" s="62" t="s">
        <v>1266</v>
      </c>
      <c r="B676" s="63" t="s">
        <v>1075</v>
      </c>
      <c r="C676" s="61"/>
      <c r="D676" s="61"/>
    </row>
    <row r="677" spans="1:4" ht="24.6" customHeight="1" thickBot="1" x14ac:dyDescent="0.25">
      <c r="A677" s="62" t="s">
        <v>1267</v>
      </c>
      <c r="B677" s="63" t="s">
        <v>1268</v>
      </c>
      <c r="C677" s="61"/>
      <c r="D677" s="61"/>
    </row>
    <row r="678" spans="1:4" ht="24.6" customHeight="1" thickBot="1" x14ac:dyDescent="0.25">
      <c r="A678" s="62" t="s">
        <v>1269</v>
      </c>
      <c r="B678" s="63" t="s">
        <v>1270</v>
      </c>
      <c r="C678" s="61"/>
      <c r="D678" s="61"/>
    </row>
    <row r="679" spans="1:4" ht="24.6" customHeight="1" thickBot="1" x14ac:dyDescent="0.25">
      <c r="A679" s="62" t="s">
        <v>1271</v>
      </c>
      <c r="B679" s="63" t="s">
        <v>1079</v>
      </c>
      <c r="C679" s="61"/>
      <c r="D679" s="61"/>
    </row>
    <row r="680" spans="1:4" ht="24.6" customHeight="1" thickBot="1" x14ac:dyDescent="0.25">
      <c r="A680" s="62" t="s">
        <v>1272</v>
      </c>
      <c r="B680" s="63" t="s">
        <v>1081</v>
      </c>
      <c r="C680" s="61"/>
      <c r="D680" s="61"/>
    </row>
    <row r="681" spans="1:4" ht="24.6" customHeight="1" thickBot="1" x14ac:dyDescent="0.25">
      <c r="A681" s="62" t="s">
        <v>1273</v>
      </c>
      <c r="B681" s="63" t="s">
        <v>1083</v>
      </c>
      <c r="C681" s="61"/>
      <c r="D681" s="61"/>
    </row>
    <row r="682" spans="1:4" ht="24.6" customHeight="1" thickBot="1" x14ac:dyDescent="0.25">
      <c r="A682" s="62" t="s">
        <v>1274</v>
      </c>
      <c r="B682" s="63" t="s">
        <v>1275</v>
      </c>
      <c r="C682" s="61"/>
      <c r="D682" s="61"/>
    </row>
    <row r="683" spans="1:4" ht="24.6" customHeight="1" thickBot="1" x14ac:dyDescent="0.25">
      <c r="A683" s="62" t="s">
        <v>1276</v>
      </c>
      <c r="B683" s="63" t="s">
        <v>1086</v>
      </c>
      <c r="C683" s="61"/>
      <c r="D683" s="61"/>
    </row>
    <row r="684" spans="1:4" ht="24.6" customHeight="1" thickBot="1" x14ac:dyDescent="0.25">
      <c r="A684" s="911" t="s">
        <v>1091</v>
      </c>
      <c r="B684" s="912"/>
      <c r="C684" s="61"/>
      <c r="D684" s="61"/>
    </row>
    <row r="685" spans="1:4" ht="24.6" customHeight="1" thickBot="1" x14ac:dyDescent="0.25">
      <c r="A685" s="62" t="s">
        <v>1277</v>
      </c>
      <c r="B685" s="63" t="s">
        <v>185</v>
      </c>
      <c r="C685" s="61"/>
      <c r="D685" s="61"/>
    </row>
    <row r="686" spans="1:4" ht="24.6" customHeight="1" thickBot="1" x14ac:dyDescent="0.25">
      <c r="A686" s="62" t="s">
        <v>1278</v>
      </c>
      <c r="B686" s="63" t="s">
        <v>1094</v>
      </c>
      <c r="C686" s="61"/>
      <c r="D686" s="61"/>
    </row>
    <row r="687" spans="1:4" ht="24.6" customHeight="1" thickBot="1" x14ac:dyDescent="0.25">
      <c r="A687" s="62" t="s">
        <v>1279</v>
      </c>
      <c r="B687" s="63" t="s">
        <v>1096</v>
      </c>
      <c r="C687" s="61"/>
      <c r="D687" s="61"/>
    </row>
    <row r="688" spans="1:4" ht="24.6" customHeight="1" thickBot="1" x14ac:dyDescent="0.25">
      <c r="A688" s="62" t="s">
        <v>1280</v>
      </c>
      <c r="B688" s="63" t="s">
        <v>189</v>
      </c>
      <c r="C688" s="61"/>
      <c r="D688" s="61"/>
    </row>
    <row r="689" spans="1:4" ht="24.6" customHeight="1" thickBot="1" x14ac:dyDescent="0.25">
      <c r="A689" s="62" t="s">
        <v>1281</v>
      </c>
      <c r="B689" s="63" t="s">
        <v>191</v>
      </c>
      <c r="C689" s="61"/>
      <c r="D689" s="61"/>
    </row>
    <row r="690" spans="1:4" ht="24.6" customHeight="1" thickBot="1" x14ac:dyDescent="0.25">
      <c r="A690" s="62" t="s">
        <v>1282</v>
      </c>
      <c r="B690" s="63" t="s">
        <v>1283</v>
      </c>
      <c r="C690" s="61"/>
      <c r="D690" s="61"/>
    </row>
    <row r="691" spans="1:4" ht="24.6" customHeight="1" thickBot="1" x14ac:dyDescent="0.25">
      <c r="A691" s="62" t="s">
        <v>1284</v>
      </c>
      <c r="B691" s="63" t="s">
        <v>193</v>
      </c>
      <c r="C691" s="61"/>
      <c r="D691" s="61"/>
    </row>
    <row r="692" spans="1:4" ht="24.6" customHeight="1" thickBot="1" x14ac:dyDescent="0.25">
      <c r="A692" s="62" t="s">
        <v>1285</v>
      </c>
      <c r="B692" s="63" t="s">
        <v>195</v>
      </c>
      <c r="C692" s="61"/>
      <c r="D692" s="61"/>
    </row>
    <row r="693" spans="1:4" ht="24.6" customHeight="1" thickBot="1" x14ac:dyDescent="0.25">
      <c r="A693" s="62" t="s">
        <v>1286</v>
      </c>
      <c r="B693" s="63" t="s">
        <v>156</v>
      </c>
      <c r="C693" s="61"/>
      <c r="D693" s="61"/>
    </row>
    <row r="694" spans="1:4" ht="24.6" customHeight="1" thickBot="1" x14ac:dyDescent="0.25">
      <c r="A694" s="911" t="s">
        <v>1287</v>
      </c>
      <c r="B694" s="912"/>
      <c r="C694" s="61"/>
      <c r="D694" s="61"/>
    </row>
    <row r="695" spans="1:4" ht="24.6" customHeight="1" thickBot="1" x14ac:dyDescent="0.25">
      <c r="A695" s="62" t="s">
        <v>1288</v>
      </c>
      <c r="B695" s="63" t="s">
        <v>1289</v>
      </c>
      <c r="C695" s="61"/>
      <c r="D695" s="61"/>
    </row>
    <row r="696" spans="1:4" ht="24.6" customHeight="1" thickBot="1" x14ac:dyDescent="0.25">
      <c r="A696" s="62" t="s">
        <v>1290</v>
      </c>
      <c r="B696" s="63" t="s">
        <v>1291</v>
      </c>
      <c r="C696" s="61"/>
      <c r="D696" s="61"/>
    </row>
    <row r="697" spans="1:4" ht="24.6" customHeight="1" thickBot="1" x14ac:dyDescent="0.25">
      <c r="A697" s="62" t="s">
        <v>1292</v>
      </c>
      <c r="B697" s="63" t="s">
        <v>1293</v>
      </c>
      <c r="C697" s="61"/>
      <c r="D697" s="61"/>
    </row>
    <row r="698" spans="1:4" ht="24.6" customHeight="1" thickBot="1" x14ac:dyDescent="0.25">
      <c r="A698" s="62" t="s">
        <v>1294</v>
      </c>
      <c r="B698" s="63" t="s">
        <v>1295</v>
      </c>
      <c r="C698" s="61"/>
      <c r="D698" s="61"/>
    </row>
    <row r="699" spans="1:4" ht="24.6" customHeight="1" thickBot="1" x14ac:dyDescent="0.25">
      <c r="A699" s="62" t="s">
        <v>1296</v>
      </c>
      <c r="B699" s="63" t="s">
        <v>1297</v>
      </c>
      <c r="C699" s="61"/>
      <c r="D699" s="61"/>
    </row>
    <row r="700" spans="1:4" ht="24.6" customHeight="1" thickBot="1" x14ac:dyDescent="0.25">
      <c r="A700" s="62" t="s">
        <v>1298</v>
      </c>
      <c r="B700" s="63" t="s">
        <v>1299</v>
      </c>
      <c r="C700" s="61"/>
      <c r="D700" s="61"/>
    </row>
    <row r="701" spans="1:4" ht="24.6" customHeight="1" thickBot="1" x14ac:dyDescent="0.25">
      <c r="A701" s="911" t="s">
        <v>1300</v>
      </c>
      <c r="B701" s="912"/>
      <c r="C701" s="61"/>
      <c r="D701" s="61"/>
    </row>
    <row r="702" spans="1:4" ht="24.6" customHeight="1" thickBot="1" x14ac:dyDescent="0.25">
      <c r="A702" s="62" t="s">
        <v>1301</v>
      </c>
      <c r="B702" s="63" t="s">
        <v>1302</v>
      </c>
      <c r="C702" s="61"/>
      <c r="D702" s="61"/>
    </row>
    <row r="703" spans="1:4" ht="24.6" customHeight="1" thickBot="1" x14ac:dyDescent="0.25">
      <c r="A703" s="62" t="s">
        <v>1303</v>
      </c>
      <c r="B703" s="63" t="s">
        <v>1304</v>
      </c>
      <c r="C703" s="61"/>
      <c r="D703" s="61"/>
    </row>
    <row r="704" spans="1:4" ht="24.6" customHeight="1" thickBot="1" x14ac:dyDescent="0.25">
      <c r="A704" s="62" t="s">
        <v>1305</v>
      </c>
      <c r="B704" s="63" t="s">
        <v>1306</v>
      </c>
      <c r="C704" s="61"/>
      <c r="D704" s="61"/>
    </row>
    <row r="705" spans="1:4" ht="24.6" customHeight="1" thickBot="1" x14ac:dyDescent="0.25">
      <c r="A705" s="914" t="s">
        <v>1307</v>
      </c>
      <c r="B705" s="915"/>
      <c r="C705" s="61"/>
      <c r="D705" s="61"/>
    </row>
    <row r="706" spans="1:4" ht="24.6" customHeight="1" thickBot="1" x14ac:dyDescent="0.25">
      <c r="A706" s="911" t="s">
        <v>415</v>
      </c>
      <c r="B706" s="912"/>
      <c r="C706" s="61"/>
      <c r="D706" s="61"/>
    </row>
    <row r="707" spans="1:4" ht="24.6" customHeight="1" thickBot="1" x14ac:dyDescent="0.25">
      <c r="A707" s="914" t="s">
        <v>1308</v>
      </c>
      <c r="B707" s="915"/>
      <c r="C707" s="61"/>
      <c r="D707" s="61"/>
    </row>
    <row r="708" spans="1:4" ht="24.6" customHeight="1" thickBot="1" x14ac:dyDescent="0.25">
      <c r="A708" s="911" t="s">
        <v>415</v>
      </c>
      <c r="B708" s="912"/>
      <c r="C708" s="61"/>
      <c r="D708" s="61"/>
    </row>
    <row r="709" spans="1:4" ht="24.6" customHeight="1" thickBot="1" x14ac:dyDescent="0.25">
      <c r="A709" s="62" t="s">
        <v>1309</v>
      </c>
      <c r="B709" s="63" t="s">
        <v>1310</v>
      </c>
      <c r="C709" s="61"/>
      <c r="D709" s="61"/>
    </row>
    <row r="710" spans="1:4" ht="24.6" customHeight="1" thickBot="1" x14ac:dyDescent="0.25">
      <c r="A710" s="62" t="s">
        <v>1311</v>
      </c>
      <c r="B710" s="63" t="s">
        <v>1312</v>
      </c>
      <c r="C710" s="61"/>
      <c r="D710" s="61"/>
    </row>
    <row r="711" spans="1:4" ht="24.6" customHeight="1" thickBot="1" x14ac:dyDescent="0.25">
      <c r="A711" s="62" t="s">
        <v>1313</v>
      </c>
      <c r="B711" s="63" t="s">
        <v>1314</v>
      </c>
      <c r="C711" s="61"/>
      <c r="D711" s="61"/>
    </row>
    <row r="712" spans="1:4" ht="24.6" customHeight="1" thickBot="1" x14ac:dyDescent="0.25">
      <c r="A712" s="62" t="s">
        <v>1315</v>
      </c>
      <c r="B712" s="63" t="s">
        <v>383</v>
      </c>
      <c r="C712" s="61"/>
      <c r="D712" s="61"/>
    </row>
    <row r="713" spans="1:4" ht="24.6" customHeight="1" thickBot="1" x14ac:dyDescent="0.25">
      <c r="A713" s="62" t="s">
        <v>1316</v>
      </c>
      <c r="B713" s="63" t="s">
        <v>1317</v>
      </c>
      <c r="C713" s="61"/>
      <c r="D713" s="61"/>
    </row>
    <row r="714" spans="1:4" ht="24.6" customHeight="1" thickBot="1" x14ac:dyDescent="0.25">
      <c r="A714" s="62" t="s">
        <v>1318</v>
      </c>
      <c r="B714" s="63" t="s">
        <v>1319</v>
      </c>
      <c r="C714" s="61"/>
      <c r="D714" s="61"/>
    </row>
    <row r="715" spans="1:4" ht="24.6" customHeight="1" thickBot="1" x14ac:dyDescent="0.25">
      <c r="A715" s="62" t="s">
        <v>1320</v>
      </c>
      <c r="B715" s="63" t="s">
        <v>1321</v>
      </c>
      <c r="C715" s="61"/>
      <c r="D715" s="61"/>
    </row>
    <row r="716" spans="1:4" ht="24.6" customHeight="1" thickBot="1" x14ac:dyDescent="0.25">
      <c r="A716" s="62" t="s">
        <v>1322</v>
      </c>
      <c r="B716" s="63" t="s">
        <v>1323</v>
      </c>
      <c r="C716" s="61"/>
      <c r="D716" s="61"/>
    </row>
    <row r="717" spans="1:4" ht="24.6" customHeight="1" thickBot="1" x14ac:dyDescent="0.25">
      <c r="A717" s="62" t="s">
        <v>1324</v>
      </c>
      <c r="B717" s="63" t="s">
        <v>1325</v>
      </c>
      <c r="C717" s="61"/>
      <c r="D717" s="61"/>
    </row>
    <row r="718" spans="1:4" ht="24.6" customHeight="1" thickBot="1" x14ac:dyDescent="0.25">
      <c r="A718" s="914" t="s">
        <v>1326</v>
      </c>
      <c r="B718" s="915"/>
      <c r="C718" s="61"/>
      <c r="D718" s="61"/>
    </row>
    <row r="719" spans="1:4" ht="24.6" customHeight="1" thickBot="1" x14ac:dyDescent="0.25">
      <c r="A719" s="911" t="s">
        <v>415</v>
      </c>
      <c r="B719" s="912"/>
      <c r="C719" s="61"/>
      <c r="D719" s="61"/>
    </row>
    <row r="720" spans="1:4" ht="24.6" customHeight="1" thickBot="1" x14ac:dyDescent="0.25">
      <c r="A720" s="911" t="s">
        <v>1327</v>
      </c>
      <c r="B720" s="912"/>
      <c r="C720" s="61"/>
      <c r="D720" s="61"/>
    </row>
    <row r="721" spans="1:4" ht="24.6" customHeight="1" thickBot="1" x14ac:dyDescent="0.25">
      <c r="A721" s="62" t="s">
        <v>1328</v>
      </c>
      <c r="B721" s="63" t="s">
        <v>1329</v>
      </c>
      <c r="C721" s="61"/>
      <c r="D721" s="61"/>
    </row>
    <row r="722" spans="1:4" ht="24.6" customHeight="1" thickBot="1" x14ac:dyDescent="0.25">
      <c r="A722" s="62" t="s">
        <v>1330</v>
      </c>
      <c r="B722" s="63" t="s">
        <v>1079</v>
      </c>
      <c r="C722" s="61"/>
      <c r="D722" s="61"/>
    </row>
    <row r="723" spans="1:4" ht="24.6" customHeight="1" thickBot="1" x14ac:dyDescent="0.25">
      <c r="A723" s="62" t="s">
        <v>1331</v>
      </c>
      <c r="B723" s="63" t="s">
        <v>1332</v>
      </c>
      <c r="C723" s="61"/>
      <c r="D723" s="61"/>
    </row>
    <row r="724" spans="1:4" ht="24.6" customHeight="1" thickBot="1" x14ac:dyDescent="0.25">
      <c r="A724" s="62" t="s">
        <v>1333</v>
      </c>
      <c r="B724" s="63" t="s">
        <v>1334</v>
      </c>
      <c r="C724" s="61"/>
      <c r="D724" s="61"/>
    </row>
    <row r="725" spans="1:4" ht="24.6" customHeight="1" thickBot="1" x14ac:dyDescent="0.25">
      <c r="A725" s="62" t="s">
        <v>1335</v>
      </c>
      <c r="B725" s="63" t="s">
        <v>1336</v>
      </c>
      <c r="C725" s="61"/>
      <c r="D725" s="61"/>
    </row>
    <row r="726" spans="1:4" ht="24.6" customHeight="1" thickBot="1" x14ac:dyDescent="0.25">
      <c r="A726" s="62" t="s">
        <v>1337</v>
      </c>
      <c r="B726" s="63" t="s">
        <v>1338</v>
      </c>
      <c r="C726" s="61"/>
      <c r="D726" s="61"/>
    </row>
    <row r="727" spans="1:4" ht="24.6" customHeight="1" thickBot="1" x14ac:dyDescent="0.25">
      <c r="A727" s="911" t="s">
        <v>1339</v>
      </c>
      <c r="B727" s="912"/>
      <c r="C727" s="61"/>
      <c r="D727" s="61"/>
    </row>
    <row r="728" spans="1:4" ht="24.6" customHeight="1" thickBot="1" x14ac:dyDescent="0.25">
      <c r="A728" s="62" t="s">
        <v>1340</v>
      </c>
      <c r="B728" s="63" t="s">
        <v>193</v>
      </c>
      <c r="C728" s="61"/>
      <c r="D728" s="61"/>
    </row>
    <row r="729" spans="1:4" ht="24.6" customHeight="1" thickBot="1" x14ac:dyDescent="0.25">
      <c r="A729" s="62" t="s">
        <v>1341</v>
      </c>
      <c r="B729" s="63" t="s">
        <v>1094</v>
      </c>
      <c r="C729" s="61"/>
      <c r="D729" s="61"/>
    </row>
    <row r="730" spans="1:4" ht="24.6" customHeight="1" thickBot="1" x14ac:dyDescent="0.25">
      <c r="A730" s="911" t="s">
        <v>1342</v>
      </c>
      <c r="B730" s="912"/>
      <c r="C730" s="61"/>
      <c r="D730" s="61"/>
    </row>
    <row r="731" spans="1:4" ht="24.6" customHeight="1" thickBot="1" x14ac:dyDescent="0.25">
      <c r="A731" s="62" t="s">
        <v>1343</v>
      </c>
      <c r="B731" s="63" t="s">
        <v>1344</v>
      </c>
      <c r="C731" s="61"/>
      <c r="D731" s="61"/>
    </row>
    <row r="732" spans="1:4" ht="24.6" customHeight="1" thickBot="1" x14ac:dyDescent="0.25">
      <c r="A732" s="62" t="s">
        <v>1345</v>
      </c>
      <c r="B732" s="63" t="s">
        <v>1346</v>
      </c>
      <c r="C732" s="61"/>
      <c r="D732" s="61"/>
    </row>
    <row r="733" spans="1:4" ht="24.6" customHeight="1" thickBot="1" x14ac:dyDescent="0.25">
      <c r="A733" s="62" t="s">
        <v>1347</v>
      </c>
      <c r="B733" s="63" t="s">
        <v>1348</v>
      </c>
      <c r="C733" s="61"/>
      <c r="D733" s="61"/>
    </row>
    <row r="734" spans="1:4" ht="24.6" customHeight="1" thickBot="1" x14ac:dyDescent="0.25">
      <c r="A734" s="62" t="s">
        <v>1349</v>
      </c>
      <c r="B734" s="63" t="s">
        <v>1350</v>
      </c>
      <c r="C734" s="61"/>
      <c r="D734" s="61"/>
    </row>
    <row r="735" spans="1:4" ht="24.6" customHeight="1" thickBot="1" x14ac:dyDescent="0.25">
      <c r="A735" s="62" t="s">
        <v>1351</v>
      </c>
      <c r="B735" s="63" t="s">
        <v>1352</v>
      </c>
      <c r="C735" s="61"/>
      <c r="D735" s="61"/>
    </row>
    <row r="736" spans="1:4" ht="24.6" customHeight="1" thickBot="1" x14ac:dyDescent="0.25">
      <c r="A736" s="62" t="s">
        <v>1353</v>
      </c>
      <c r="B736" s="63" t="s">
        <v>1354</v>
      </c>
      <c r="C736" s="61"/>
      <c r="D736" s="61"/>
    </row>
    <row r="737" spans="1:4" ht="24.6" customHeight="1" thickBot="1" x14ac:dyDescent="0.25">
      <c r="A737" s="62" t="s">
        <v>1355</v>
      </c>
      <c r="B737" s="63" t="s">
        <v>1356</v>
      </c>
      <c r="C737" s="61"/>
      <c r="D737" s="61"/>
    </row>
    <row r="738" spans="1:4" ht="24.6" customHeight="1" thickBot="1" x14ac:dyDescent="0.25">
      <c r="A738" s="62" t="s">
        <v>1357</v>
      </c>
      <c r="B738" s="63" t="s">
        <v>1358</v>
      </c>
      <c r="C738" s="61"/>
      <c r="D738" s="61"/>
    </row>
    <row r="739" spans="1:4" ht="24.6" customHeight="1" thickBot="1" x14ac:dyDescent="0.25">
      <c r="A739" s="62" t="s">
        <v>1359</v>
      </c>
      <c r="B739" s="63" t="s">
        <v>1360</v>
      </c>
      <c r="C739" s="61"/>
      <c r="D739" s="61"/>
    </row>
    <row r="740" spans="1:4" ht="24.6" customHeight="1" thickBot="1" x14ac:dyDescent="0.25">
      <c r="A740" s="62" t="s">
        <v>1361</v>
      </c>
      <c r="B740" s="63" t="s">
        <v>1362</v>
      </c>
      <c r="C740" s="61"/>
      <c r="D740" s="61"/>
    </row>
    <row r="741" spans="1:4" ht="24.6" customHeight="1" thickBot="1" x14ac:dyDescent="0.25">
      <c r="A741" s="914" t="s">
        <v>1363</v>
      </c>
      <c r="B741" s="915"/>
      <c r="C741" s="61"/>
      <c r="D741" s="61"/>
    </row>
    <row r="742" spans="1:4" ht="24.6" customHeight="1" thickBot="1" x14ac:dyDescent="0.25">
      <c r="A742" s="911" t="s">
        <v>140</v>
      </c>
      <c r="B742" s="912"/>
      <c r="C742" s="61"/>
      <c r="D742" s="61"/>
    </row>
    <row r="743" spans="1:4" ht="24.6" customHeight="1" thickBot="1" x14ac:dyDescent="0.25">
      <c r="A743" s="62" t="s">
        <v>1364</v>
      </c>
      <c r="B743" s="63" t="s">
        <v>1069</v>
      </c>
      <c r="C743" s="61"/>
      <c r="D743" s="61"/>
    </row>
    <row r="744" spans="1:4" ht="24.6" customHeight="1" thickBot="1" x14ac:dyDescent="0.25">
      <c r="A744" s="62" t="s">
        <v>1365</v>
      </c>
      <c r="B744" s="63" t="s">
        <v>1071</v>
      </c>
      <c r="C744" s="61"/>
      <c r="D744" s="61"/>
    </row>
    <row r="745" spans="1:4" ht="24.6" customHeight="1" thickBot="1" x14ac:dyDescent="0.25">
      <c r="A745" s="62" t="s">
        <v>1366</v>
      </c>
      <c r="B745" s="63" t="s">
        <v>1073</v>
      </c>
      <c r="C745" s="61"/>
      <c r="D745" s="61"/>
    </row>
    <row r="746" spans="1:4" ht="24.6" customHeight="1" thickBot="1" x14ac:dyDescent="0.25">
      <c r="A746" s="62" t="s">
        <v>1367</v>
      </c>
      <c r="B746" s="63" t="s">
        <v>1075</v>
      </c>
      <c r="C746" s="61"/>
      <c r="D746" s="61"/>
    </row>
    <row r="747" spans="1:4" ht="24.6" customHeight="1" thickBot="1" x14ac:dyDescent="0.25">
      <c r="A747" s="62" t="s">
        <v>1368</v>
      </c>
      <c r="B747" s="63" t="s">
        <v>1369</v>
      </c>
      <c r="C747" s="61"/>
      <c r="D747" s="61"/>
    </row>
    <row r="748" spans="1:4" ht="24.6" customHeight="1" thickBot="1" x14ac:dyDescent="0.25">
      <c r="A748" s="62" t="s">
        <v>1370</v>
      </c>
      <c r="B748" s="63" t="s">
        <v>1371</v>
      </c>
      <c r="C748" s="61"/>
      <c r="D748" s="61"/>
    </row>
    <row r="749" spans="1:4" ht="24.6" customHeight="1" thickBot="1" x14ac:dyDescent="0.25">
      <c r="A749" s="62" t="s">
        <v>1372</v>
      </c>
      <c r="B749" s="63" t="s">
        <v>1081</v>
      </c>
      <c r="C749" s="61"/>
      <c r="D749" s="61"/>
    </row>
    <row r="750" spans="1:4" ht="24.6" customHeight="1" thickBot="1" x14ac:dyDescent="0.25">
      <c r="A750" s="62" t="s">
        <v>1373</v>
      </c>
      <c r="B750" s="63" t="s">
        <v>1083</v>
      </c>
      <c r="C750" s="61"/>
      <c r="D750" s="61"/>
    </row>
    <row r="751" spans="1:4" ht="24.6" customHeight="1" thickBot="1" x14ac:dyDescent="0.25">
      <c r="A751" s="62" t="s">
        <v>1374</v>
      </c>
      <c r="B751" s="63" t="s">
        <v>1088</v>
      </c>
      <c r="C751" s="61"/>
      <c r="D751" s="61"/>
    </row>
    <row r="752" spans="1:4" ht="24.6" customHeight="1" thickBot="1" x14ac:dyDescent="0.25">
      <c r="A752" s="62" t="s">
        <v>1375</v>
      </c>
      <c r="B752" s="63" t="s">
        <v>1376</v>
      </c>
      <c r="C752" s="61"/>
      <c r="D752" s="61"/>
    </row>
    <row r="753" spans="1:4" ht="24.6" customHeight="1" thickBot="1" x14ac:dyDescent="0.25">
      <c r="A753" s="62" t="s">
        <v>1377</v>
      </c>
      <c r="B753" s="63" t="s">
        <v>1275</v>
      </c>
      <c r="C753" s="61"/>
      <c r="D753" s="61"/>
    </row>
    <row r="754" spans="1:4" ht="24.6" customHeight="1" thickBot="1" x14ac:dyDescent="0.25">
      <c r="A754" s="62" t="s">
        <v>1378</v>
      </c>
      <c r="B754" s="63" t="s">
        <v>1086</v>
      </c>
      <c r="C754" s="61"/>
      <c r="D754" s="61"/>
    </row>
    <row r="755" spans="1:4" ht="24.6" customHeight="1" thickBot="1" x14ac:dyDescent="0.25">
      <c r="A755" s="911" t="s">
        <v>1091</v>
      </c>
      <c r="B755" s="912"/>
      <c r="C755" s="61"/>
      <c r="D755" s="61"/>
    </row>
    <row r="756" spans="1:4" ht="24.6" customHeight="1" thickBot="1" x14ac:dyDescent="0.25">
      <c r="A756" s="62" t="s">
        <v>1379</v>
      </c>
      <c r="B756" s="63" t="s">
        <v>185</v>
      </c>
      <c r="C756" s="61"/>
      <c r="D756" s="61"/>
    </row>
    <row r="757" spans="1:4" ht="24.6" customHeight="1" thickBot="1" x14ac:dyDescent="0.25">
      <c r="A757" s="62" t="s">
        <v>1380</v>
      </c>
      <c r="B757" s="63" t="s">
        <v>1094</v>
      </c>
      <c r="C757" s="61"/>
      <c r="D757" s="61"/>
    </row>
    <row r="758" spans="1:4" ht="24.6" customHeight="1" thickBot="1" x14ac:dyDescent="0.25">
      <c r="A758" s="62" t="s">
        <v>1381</v>
      </c>
      <c r="B758" s="63" t="s">
        <v>1096</v>
      </c>
      <c r="C758" s="61"/>
      <c r="D758" s="61"/>
    </row>
    <row r="759" spans="1:4" ht="24.6" customHeight="1" thickBot="1" x14ac:dyDescent="0.25">
      <c r="A759" s="62" t="s">
        <v>1382</v>
      </c>
      <c r="B759" s="63" t="s">
        <v>189</v>
      </c>
      <c r="C759" s="61"/>
      <c r="D759" s="61"/>
    </row>
    <row r="760" spans="1:4" ht="24.6" customHeight="1" thickBot="1" x14ac:dyDescent="0.25">
      <c r="A760" s="62" t="s">
        <v>1383</v>
      </c>
      <c r="B760" s="63" t="s">
        <v>191</v>
      </c>
      <c r="C760" s="61"/>
      <c r="D760" s="61"/>
    </row>
    <row r="761" spans="1:4" ht="24.6" customHeight="1" thickBot="1" x14ac:dyDescent="0.25">
      <c r="A761" s="62" t="s">
        <v>1384</v>
      </c>
      <c r="B761" s="63" t="s">
        <v>193</v>
      </c>
      <c r="C761" s="61"/>
      <c r="D761" s="61"/>
    </row>
    <row r="762" spans="1:4" ht="24.6" customHeight="1" thickBot="1" x14ac:dyDescent="0.25">
      <c r="A762" s="62" t="s">
        <v>1385</v>
      </c>
      <c r="B762" s="63" t="s">
        <v>195</v>
      </c>
      <c r="C762" s="61"/>
      <c r="D762" s="61"/>
    </row>
    <row r="763" spans="1:4" ht="24.6" customHeight="1" thickBot="1" x14ac:dyDescent="0.25">
      <c r="A763" s="911" t="s">
        <v>1102</v>
      </c>
      <c r="B763" s="912"/>
      <c r="C763" s="61"/>
      <c r="D763" s="61"/>
    </row>
    <row r="764" spans="1:4" ht="24.6" customHeight="1" thickBot="1" x14ac:dyDescent="0.25">
      <c r="A764" s="62" t="s">
        <v>1386</v>
      </c>
      <c r="B764" s="63" t="s">
        <v>1387</v>
      </c>
      <c r="C764" s="61"/>
      <c r="D764" s="61"/>
    </row>
    <row r="765" spans="1:4" ht="24.6" customHeight="1" thickBot="1" x14ac:dyDescent="0.25">
      <c r="A765" s="62" t="s">
        <v>1388</v>
      </c>
      <c r="B765" s="63" t="s">
        <v>1389</v>
      </c>
      <c r="C765" s="61"/>
      <c r="D765" s="61"/>
    </row>
    <row r="766" spans="1:4" ht="24.6" customHeight="1" thickBot="1" x14ac:dyDescent="0.25">
      <c r="A766" s="911" t="s">
        <v>1107</v>
      </c>
      <c r="B766" s="913"/>
      <c r="C766" s="61"/>
      <c r="D766" s="61"/>
    </row>
    <row r="767" spans="1:4" ht="24.6" customHeight="1" thickBot="1" x14ac:dyDescent="0.25">
      <c r="A767" s="62" t="s">
        <v>1390</v>
      </c>
      <c r="B767" s="63" t="s">
        <v>1391</v>
      </c>
      <c r="C767" s="61"/>
      <c r="D767" s="61"/>
    </row>
    <row r="768" spans="1:4" ht="24.6" customHeight="1" thickBot="1" x14ac:dyDescent="0.25">
      <c r="A768" s="62" t="s">
        <v>1392</v>
      </c>
      <c r="B768" s="63" t="s">
        <v>1393</v>
      </c>
      <c r="C768" s="61"/>
      <c r="D768" s="61"/>
    </row>
    <row r="769" spans="1:4" ht="24.6" customHeight="1" thickBot="1" x14ac:dyDescent="0.25">
      <c r="A769" s="62" t="s">
        <v>1394</v>
      </c>
      <c r="B769" s="63" t="s">
        <v>1395</v>
      </c>
      <c r="C769" s="61"/>
      <c r="D769" s="61"/>
    </row>
    <row r="770" spans="1:4" ht="24.6" customHeight="1" thickBot="1" x14ac:dyDescent="0.25">
      <c r="A770" s="62" t="s">
        <v>1396</v>
      </c>
      <c r="B770" s="63" t="s">
        <v>1397</v>
      </c>
      <c r="C770" s="61"/>
      <c r="D770" s="61"/>
    </row>
    <row r="771" spans="1:4" ht="24.6" customHeight="1" thickBot="1" x14ac:dyDescent="0.25">
      <c r="A771" s="62" t="s">
        <v>1398</v>
      </c>
      <c r="B771" s="63" t="s">
        <v>1399</v>
      </c>
      <c r="C771" s="61"/>
      <c r="D771" s="61"/>
    </row>
    <row r="772" spans="1:4" ht="24.6" customHeight="1" thickBot="1" x14ac:dyDescent="0.25">
      <c r="A772" s="62" t="s">
        <v>1400</v>
      </c>
      <c r="B772" s="63" t="s">
        <v>1401</v>
      </c>
      <c r="C772" s="61"/>
      <c r="D772" s="61"/>
    </row>
    <row r="773" spans="1:4" ht="24.6" customHeight="1" thickBot="1" x14ac:dyDescent="0.25">
      <c r="A773" s="62" t="s">
        <v>1402</v>
      </c>
      <c r="B773" s="63" t="s">
        <v>1403</v>
      </c>
      <c r="C773" s="61"/>
      <c r="D773" s="61"/>
    </row>
    <row r="774" spans="1:4" ht="24.6" customHeight="1" thickBot="1" x14ac:dyDescent="0.25">
      <c r="A774" s="914" t="s">
        <v>1404</v>
      </c>
      <c r="B774" s="915"/>
      <c r="C774" s="61"/>
      <c r="D774" s="61"/>
    </row>
    <row r="775" spans="1:4" ht="24.6" customHeight="1" thickBot="1" x14ac:dyDescent="0.25">
      <c r="A775" s="911" t="s">
        <v>140</v>
      </c>
      <c r="B775" s="912"/>
      <c r="C775" s="61"/>
      <c r="D775" s="61"/>
    </row>
    <row r="776" spans="1:4" ht="24.6" customHeight="1" thickBot="1" x14ac:dyDescent="0.25">
      <c r="A776" s="62" t="s">
        <v>1405</v>
      </c>
      <c r="B776" s="63" t="s">
        <v>1069</v>
      </c>
      <c r="C776" s="61"/>
      <c r="D776" s="61"/>
    </row>
    <row r="777" spans="1:4" ht="24.6" customHeight="1" thickBot="1" x14ac:dyDescent="0.25">
      <c r="A777" s="62" t="s">
        <v>1406</v>
      </c>
      <c r="B777" s="63" t="s">
        <v>1071</v>
      </c>
      <c r="C777" s="61"/>
      <c r="D777" s="61"/>
    </row>
    <row r="778" spans="1:4" ht="24.6" customHeight="1" thickBot="1" x14ac:dyDescent="0.25">
      <c r="A778" s="62" t="s">
        <v>1407</v>
      </c>
      <c r="B778" s="63" t="s">
        <v>1073</v>
      </c>
      <c r="C778" s="61"/>
      <c r="D778" s="61"/>
    </row>
    <row r="779" spans="1:4" ht="24.6" customHeight="1" thickBot="1" x14ac:dyDescent="0.25">
      <c r="A779" s="62" t="s">
        <v>1408</v>
      </c>
      <c r="B779" s="63" t="s">
        <v>1075</v>
      </c>
      <c r="C779" s="61"/>
      <c r="D779" s="61"/>
    </row>
    <row r="780" spans="1:4" ht="24.6" customHeight="1" thickBot="1" x14ac:dyDescent="0.25">
      <c r="A780" s="62" t="s">
        <v>1409</v>
      </c>
      <c r="B780" s="63" t="s">
        <v>1369</v>
      </c>
      <c r="C780" s="61"/>
      <c r="D780" s="61"/>
    </row>
    <row r="781" spans="1:4" ht="24.6" customHeight="1" thickBot="1" x14ac:dyDescent="0.25">
      <c r="A781" s="62" t="s">
        <v>1410</v>
      </c>
      <c r="B781" s="63" t="s">
        <v>1411</v>
      </c>
      <c r="C781" s="61"/>
      <c r="D781" s="61"/>
    </row>
    <row r="782" spans="1:4" ht="24.6" customHeight="1" thickBot="1" x14ac:dyDescent="0.25">
      <c r="A782" s="62" t="s">
        <v>1412</v>
      </c>
      <c r="B782" s="63" t="s">
        <v>1081</v>
      </c>
      <c r="C782" s="61"/>
      <c r="D782" s="61"/>
    </row>
    <row r="783" spans="1:4" ht="24.6" customHeight="1" thickBot="1" x14ac:dyDescent="0.25">
      <c r="A783" s="62" t="s">
        <v>1413</v>
      </c>
      <c r="B783" s="63" t="s">
        <v>1376</v>
      </c>
      <c r="C783" s="61"/>
      <c r="D783" s="61"/>
    </row>
    <row r="784" spans="1:4" ht="24.6" customHeight="1" thickBot="1" x14ac:dyDescent="0.25">
      <c r="A784" s="62" t="s">
        <v>1414</v>
      </c>
      <c r="B784" s="63" t="s">
        <v>1275</v>
      </c>
      <c r="C784" s="61"/>
      <c r="D784" s="61"/>
    </row>
    <row r="785" spans="1:4" ht="24.6" customHeight="1" thickBot="1" x14ac:dyDescent="0.25">
      <c r="A785" s="62" t="s">
        <v>1415</v>
      </c>
      <c r="B785" s="63" t="s">
        <v>1086</v>
      </c>
      <c r="C785" s="61"/>
      <c r="D785" s="61"/>
    </row>
    <row r="786" spans="1:4" ht="24.6" customHeight="1" thickBot="1" x14ac:dyDescent="0.25">
      <c r="A786" s="911" t="s">
        <v>1091</v>
      </c>
      <c r="B786" s="912"/>
      <c r="C786" s="61"/>
      <c r="D786" s="61"/>
    </row>
    <row r="787" spans="1:4" ht="24.6" customHeight="1" thickBot="1" x14ac:dyDescent="0.25">
      <c r="A787" s="62" t="s">
        <v>1416</v>
      </c>
      <c r="B787" s="63" t="s">
        <v>185</v>
      </c>
      <c r="C787" s="61"/>
      <c r="D787" s="61"/>
    </row>
    <row r="788" spans="1:4" ht="24.6" customHeight="1" thickBot="1" x14ac:dyDescent="0.25">
      <c r="A788" s="62" t="s">
        <v>1417</v>
      </c>
      <c r="B788" s="63" t="s">
        <v>1094</v>
      </c>
      <c r="C788" s="61"/>
      <c r="D788" s="61"/>
    </row>
    <row r="789" spans="1:4" ht="24.6" customHeight="1" thickBot="1" x14ac:dyDescent="0.25">
      <c r="A789" s="62" t="s">
        <v>1418</v>
      </c>
      <c r="B789" s="63" t="s">
        <v>1096</v>
      </c>
      <c r="C789" s="61"/>
      <c r="D789" s="61"/>
    </row>
    <row r="790" spans="1:4" ht="24.6" customHeight="1" thickBot="1" x14ac:dyDescent="0.25">
      <c r="A790" s="62" t="s">
        <v>1419</v>
      </c>
      <c r="B790" s="63" t="s">
        <v>189</v>
      </c>
      <c r="C790" s="61"/>
      <c r="D790" s="61"/>
    </row>
    <row r="791" spans="1:4" ht="24.6" customHeight="1" thickBot="1" x14ac:dyDescent="0.25">
      <c r="A791" s="62" t="s">
        <v>1420</v>
      </c>
      <c r="B791" s="63" t="s">
        <v>191</v>
      </c>
      <c r="C791" s="61"/>
      <c r="D791" s="61"/>
    </row>
    <row r="792" spans="1:4" ht="24.6" customHeight="1" thickBot="1" x14ac:dyDescent="0.25">
      <c r="A792" s="62" t="s">
        <v>1421</v>
      </c>
      <c r="B792" s="63" t="s">
        <v>193</v>
      </c>
      <c r="C792" s="61"/>
      <c r="D792" s="61"/>
    </row>
    <row r="793" spans="1:4" ht="24.6" customHeight="1" thickBot="1" x14ac:dyDescent="0.25">
      <c r="A793" s="62" t="s">
        <v>1422</v>
      </c>
      <c r="B793" s="63" t="s">
        <v>195</v>
      </c>
      <c r="C793" s="61"/>
      <c r="D793" s="61"/>
    </row>
    <row r="794" spans="1:4" ht="24.6" customHeight="1" thickBot="1" x14ac:dyDescent="0.25">
      <c r="A794" s="911" t="s">
        <v>1102</v>
      </c>
      <c r="B794" s="912"/>
      <c r="C794" s="61"/>
      <c r="D794" s="61"/>
    </row>
    <row r="795" spans="1:4" ht="24.6" customHeight="1" thickBot="1" x14ac:dyDescent="0.25">
      <c r="A795" s="62" t="s">
        <v>1423</v>
      </c>
      <c r="B795" s="63" t="s">
        <v>1424</v>
      </c>
      <c r="C795" s="61"/>
      <c r="D795" s="61"/>
    </row>
    <row r="796" spans="1:4" ht="24.6" customHeight="1" thickBot="1" x14ac:dyDescent="0.25">
      <c r="A796" s="62" t="s">
        <v>1425</v>
      </c>
      <c r="B796" s="63" t="s">
        <v>1426</v>
      </c>
      <c r="C796" s="61"/>
      <c r="D796" s="61"/>
    </row>
    <row r="797" spans="1:4" ht="24.6" customHeight="1" thickBot="1" x14ac:dyDescent="0.25">
      <c r="A797" s="911" t="s">
        <v>1107</v>
      </c>
      <c r="B797" s="912"/>
      <c r="C797" s="61"/>
      <c r="D797" s="61"/>
    </row>
    <row r="798" spans="1:4" ht="24.6" customHeight="1" thickBot="1" x14ac:dyDescent="0.25">
      <c r="A798" s="62" t="s">
        <v>1427</v>
      </c>
      <c r="B798" s="63" t="s">
        <v>1428</v>
      </c>
      <c r="C798" s="61"/>
      <c r="D798" s="61"/>
    </row>
    <row r="799" spans="1:4" ht="24.6" customHeight="1" thickBot="1" x14ac:dyDescent="0.25">
      <c r="A799" s="62" t="s">
        <v>1429</v>
      </c>
      <c r="B799" s="63" t="s">
        <v>1430</v>
      </c>
      <c r="C799" s="61"/>
      <c r="D799" s="61"/>
    </row>
    <row r="800" spans="1:4" ht="24.6" customHeight="1" thickBot="1" x14ac:dyDescent="0.25">
      <c r="A800" s="62" t="s">
        <v>1431</v>
      </c>
      <c r="B800" s="63" t="s">
        <v>1432</v>
      </c>
      <c r="C800" s="61"/>
      <c r="D800" s="61"/>
    </row>
    <row r="801" spans="1:4" ht="24.6" customHeight="1" thickBot="1" x14ac:dyDescent="0.25">
      <c r="A801" s="62" t="s">
        <v>1433</v>
      </c>
      <c r="B801" s="63" t="s">
        <v>1434</v>
      </c>
      <c r="C801" s="61"/>
      <c r="D801" s="61"/>
    </row>
    <row r="802" spans="1:4" ht="24.6" customHeight="1" thickBot="1" x14ac:dyDescent="0.25">
      <c r="A802" s="62" t="s">
        <v>1435</v>
      </c>
      <c r="B802" s="63" t="s">
        <v>1436</v>
      </c>
      <c r="C802" s="61"/>
      <c r="D802" s="61"/>
    </row>
    <row r="803" spans="1:4" ht="24.6" customHeight="1" thickBot="1" x14ac:dyDescent="0.25">
      <c r="A803" s="914" t="s">
        <v>1437</v>
      </c>
      <c r="B803" s="915"/>
      <c r="C803" s="61"/>
      <c r="D803" s="61"/>
    </row>
    <row r="804" spans="1:4" ht="24.6" customHeight="1" thickBot="1" x14ac:dyDescent="0.25">
      <c r="A804" s="62" t="s">
        <v>1438</v>
      </c>
      <c r="B804" s="63" t="s">
        <v>1253</v>
      </c>
      <c r="C804" s="61"/>
      <c r="D804" s="61"/>
    </row>
    <row r="805" spans="1:4" ht="24.6" customHeight="1" thickBot="1" x14ac:dyDescent="0.25">
      <c r="A805" s="62" t="s">
        <v>1439</v>
      </c>
      <c r="B805" s="63" t="s">
        <v>1440</v>
      </c>
      <c r="C805" s="61"/>
      <c r="D805" s="61"/>
    </row>
    <row r="806" spans="1:4" ht="24.6" customHeight="1" thickBot="1" x14ac:dyDescent="0.25">
      <c r="A806" s="62" t="s">
        <v>1441</v>
      </c>
      <c r="B806" s="63" t="s">
        <v>1442</v>
      </c>
      <c r="C806" s="61"/>
      <c r="D806" s="61"/>
    </row>
    <row r="807" spans="1:4" ht="24.6" customHeight="1" thickBot="1" x14ac:dyDescent="0.25">
      <c r="A807" s="62" t="s">
        <v>1443</v>
      </c>
      <c r="B807" s="63" t="s">
        <v>1255</v>
      </c>
      <c r="C807" s="61"/>
      <c r="D807" s="61"/>
    </row>
    <row r="808" spans="1:4" ht="24.6" customHeight="1" thickBot="1" x14ac:dyDescent="0.25">
      <c r="A808" s="62" t="s">
        <v>1444</v>
      </c>
      <c r="B808" s="63" t="s">
        <v>1257</v>
      </c>
      <c r="C808" s="61"/>
      <c r="D808" s="61"/>
    </row>
    <row r="809" spans="1:4" ht="24.6" customHeight="1" thickBot="1" x14ac:dyDescent="0.25">
      <c r="A809" s="914" t="s">
        <v>1445</v>
      </c>
      <c r="B809" s="915"/>
      <c r="C809" s="61"/>
      <c r="D809" s="61"/>
    </row>
    <row r="810" spans="1:4" ht="24.6" customHeight="1" thickBot="1" x14ac:dyDescent="0.25">
      <c r="A810" s="911" t="s">
        <v>140</v>
      </c>
      <c r="B810" s="912"/>
      <c r="C810" s="61"/>
      <c r="D810" s="61"/>
    </row>
    <row r="811" spans="1:4" ht="24.6" customHeight="1" thickBot="1" x14ac:dyDescent="0.25">
      <c r="A811" s="62" t="s">
        <v>1446</v>
      </c>
      <c r="B811" s="63" t="s">
        <v>1069</v>
      </c>
      <c r="C811" s="61"/>
      <c r="D811" s="61"/>
    </row>
    <row r="812" spans="1:4" ht="24.6" customHeight="1" thickBot="1" x14ac:dyDescent="0.25">
      <c r="A812" s="62" t="s">
        <v>1447</v>
      </c>
      <c r="B812" s="63" t="s">
        <v>1071</v>
      </c>
      <c r="C812" s="61"/>
      <c r="D812" s="61"/>
    </row>
    <row r="813" spans="1:4" ht="24.6" customHeight="1" thickBot="1" x14ac:dyDescent="0.25">
      <c r="A813" s="62" t="s">
        <v>1448</v>
      </c>
      <c r="B813" s="63" t="s">
        <v>1073</v>
      </c>
      <c r="C813" s="61"/>
      <c r="D813" s="61"/>
    </row>
    <row r="814" spans="1:4" ht="24.6" customHeight="1" thickBot="1" x14ac:dyDescent="0.25">
      <c r="A814" s="62" t="s">
        <v>1449</v>
      </c>
      <c r="B814" s="63" t="s">
        <v>1075</v>
      </c>
      <c r="C814" s="61"/>
      <c r="D814" s="61"/>
    </row>
    <row r="815" spans="1:4" ht="24.6" customHeight="1" thickBot="1" x14ac:dyDescent="0.25">
      <c r="A815" s="62" t="s">
        <v>1450</v>
      </c>
      <c r="B815" s="63" t="s">
        <v>1369</v>
      </c>
      <c r="C815" s="61"/>
      <c r="D815" s="61"/>
    </row>
    <row r="816" spans="1:4" ht="24.6" customHeight="1" thickBot="1" x14ac:dyDescent="0.25">
      <c r="A816" s="62" t="s">
        <v>1451</v>
      </c>
      <c r="B816" s="63" t="s">
        <v>1371</v>
      </c>
      <c r="C816" s="61"/>
      <c r="D816" s="61"/>
    </row>
    <row r="817" spans="1:4" ht="24.6" customHeight="1" thickBot="1" x14ac:dyDescent="0.25">
      <c r="A817" s="62" t="s">
        <v>1452</v>
      </c>
      <c r="B817" s="63" t="s">
        <v>1081</v>
      </c>
      <c r="C817" s="61"/>
      <c r="D817" s="61"/>
    </row>
    <row r="818" spans="1:4" ht="24.6" customHeight="1" thickBot="1" x14ac:dyDescent="0.25">
      <c r="A818" s="62" t="s">
        <v>1453</v>
      </c>
      <c r="B818" s="63" t="s">
        <v>1083</v>
      </c>
      <c r="C818" s="61"/>
      <c r="D818" s="61"/>
    </row>
    <row r="819" spans="1:4" ht="24.6" customHeight="1" thickBot="1" x14ac:dyDescent="0.25">
      <c r="A819" s="62" t="s">
        <v>1454</v>
      </c>
      <c r="B819" s="63" t="s">
        <v>1376</v>
      </c>
      <c r="C819" s="61"/>
      <c r="D819" s="61"/>
    </row>
    <row r="820" spans="1:4" ht="24.6" customHeight="1" thickBot="1" x14ac:dyDescent="0.25">
      <c r="A820" s="62" t="s">
        <v>1455</v>
      </c>
      <c r="B820" s="63" t="s">
        <v>1088</v>
      </c>
      <c r="C820" s="61"/>
      <c r="D820" s="61"/>
    </row>
    <row r="821" spans="1:4" ht="24.6" customHeight="1" thickBot="1" x14ac:dyDescent="0.25">
      <c r="A821" s="62" t="s">
        <v>1456</v>
      </c>
      <c r="B821" s="63" t="s">
        <v>1086</v>
      </c>
      <c r="C821" s="61"/>
      <c r="D821" s="61"/>
    </row>
    <row r="822" spans="1:4" ht="24.6" customHeight="1" thickBot="1" x14ac:dyDescent="0.25">
      <c r="A822" s="911" t="s">
        <v>1091</v>
      </c>
      <c r="B822" s="912"/>
      <c r="C822" s="61"/>
      <c r="D822" s="61"/>
    </row>
    <row r="823" spans="1:4" ht="24.6" customHeight="1" thickBot="1" x14ac:dyDescent="0.25">
      <c r="A823" s="62" t="s">
        <v>1457</v>
      </c>
      <c r="B823" s="63" t="s">
        <v>185</v>
      </c>
      <c r="C823" s="61"/>
      <c r="D823" s="61"/>
    </row>
    <row r="824" spans="1:4" ht="24.6" customHeight="1" thickBot="1" x14ac:dyDescent="0.25">
      <c r="A824" s="62" t="s">
        <v>1458</v>
      </c>
      <c r="B824" s="63" t="s">
        <v>1094</v>
      </c>
      <c r="C824" s="61"/>
      <c r="D824" s="61"/>
    </row>
    <row r="825" spans="1:4" ht="24.6" customHeight="1" thickBot="1" x14ac:dyDescent="0.25">
      <c r="A825" s="62" t="s">
        <v>1459</v>
      </c>
      <c r="B825" s="63" t="s">
        <v>1096</v>
      </c>
      <c r="C825" s="61"/>
      <c r="D825" s="61"/>
    </row>
    <row r="826" spans="1:4" ht="24.6" customHeight="1" thickBot="1" x14ac:dyDescent="0.25">
      <c r="A826" s="62" t="s">
        <v>1460</v>
      </c>
      <c r="B826" s="63" t="s">
        <v>189</v>
      </c>
      <c r="C826" s="61"/>
      <c r="D826" s="61"/>
    </row>
    <row r="827" spans="1:4" ht="24.6" customHeight="1" thickBot="1" x14ac:dyDescent="0.25">
      <c r="A827" s="62" t="s">
        <v>1461</v>
      </c>
      <c r="B827" s="63" t="s">
        <v>191</v>
      </c>
      <c r="C827" s="61"/>
      <c r="D827" s="61"/>
    </row>
    <row r="828" spans="1:4" ht="24.6" customHeight="1" thickBot="1" x14ac:dyDescent="0.25">
      <c r="A828" s="62" t="s">
        <v>1462</v>
      </c>
      <c r="B828" s="63" t="s">
        <v>193</v>
      </c>
      <c r="C828" s="61"/>
      <c r="D828" s="61"/>
    </row>
    <row r="829" spans="1:4" ht="24.6" customHeight="1" thickBot="1" x14ac:dyDescent="0.25">
      <c r="A829" s="62" t="s">
        <v>1463</v>
      </c>
      <c r="B829" s="63" t="s">
        <v>195</v>
      </c>
      <c r="C829" s="61"/>
      <c r="D829" s="61"/>
    </row>
    <row r="830" spans="1:4" ht="24.6" customHeight="1" thickBot="1" x14ac:dyDescent="0.25">
      <c r="A830" s="911" t="s">
        <v>1107</v>
      </c>
      <c r="B830" s="912"/>
      <c r="C830" s="61"/>
      <c r="D830" s="61"/>
    </row>
    <row r="831" spans="1:4" ht="24.6" customHeight="1" thickBot="1" x14ac:dyDescent="0.25">
      <c r="A831" s="62" t="s">
        <v>1464</v>
      </c>
      <c r="B831" s="63" t="s">
        <v>1465</v>
      </c>
      <c r="C831" s="61"/>
      <c r="D831" s="61"/>
    </row>
    <row r="832" spans="1:4" ht="24.6" customHeight="1" thickBot="1" x14ac:dyDescent="0.25">
      <c r="A832" s="62" t="s">
        <v>1466</v>
      </c>
      <c r="B832" s="63" t="s">
        <v>1467</v>
      </c>
      <c r="C832" s="61"/>
      <c r="D832" s="61"/>
    </row>
    <row r="833" spans="1:4" ht="24.6" customHeight="1" thickBot="1" x14ac:dyDescent="0.25">
      <c r="A833" s="62" t="s">
        <v>1468</v>
      </c>
      <c r="B833" s="63" t="s">
        <v>1469</v>
      </c>
      <c r="C833" s="61"/>
      <c r="D833" s="61"/>
    </row>
    <row r="834" spans="1:4" ht="24.6" customHeight="1" thickBot="1" x14ac:dyDescent="0.25">
      <c r="A834" s="62" t="s">
        <v>1470</v>
      </c>
      <c r="B834" s="63" t="s">
        <v>1249</v>
      </c>
      <c r="C834" s="61"/>
      <c r="D834" s="61"/>
    </row>
    <row r="835" spans="1:4" ht="24.6" customHeight="1" thickBot="1" x14ac:dyDescent="0.25">
      <c r="A835" s="62" t="s">
        <v>1471</v>
      </c>
      <c r="B835" s="63" t="s">
        <v>1472</v>
      </c>
      <c r="C835" s="61"/>
      <c r="D835" s="61"/>
    </row>
    <row r="836" spans="1:4" ht="24.6" customHeight="1" thickBot="1" x14ac:dyDescent="0.25">
      <c r="A836" s="62" t="s">
        <v>1473</v>
      </c>
      <c r="B836" s="63" t="s">
        <v>1474</v>
      </c>
      <c r="C836" s="61"/>
      <c r="D836" s="61"/>
    </row>
    <row r="837" spans="1:4" ht="24.6" customHeight="1" thickBot="1" x14ac:dyDescent="0.25">
      <c r="A837" s="62" t="s">
        <v>1475</v>
      </c>
      <c r="B837" s="63" t="s">
        <v>1476</v>
      </c>
      <c r="C837" s="61"/>
      <c r="D837" s="61"/>
    </row>
    <row r="838" spans="1:4" ht="24.6" customHeight="1" thickBot="1" x14ac:dyDescent="0.25">
      <c r="A838" s="62" t="s">
        <v>1477</v>
      </c>
      <c r="B838" s="63" t="s">
        <v>1478</v>
      </c>
      <c r="C838" s="61"/>
      <c r="D838" s="61"/>
    </row>
    <row r="839" spans="1:4" ht="24.6" customHeight="1" thickBot="1" x14ac:dyDescent="0.25">
      <c r="A839" s="911" t="s">
        <v>1102</v>
      </c>
      <c r="B839" s="912"/>
      <c r="C839" s="61"/>
      <c r="D839" s="61"/>
    </row>
    <row r="840" spans="1:4" ht="24.6" customHeight="1" thickBot="1" x14ac:dyDescent="0.25">
      <c r="A840" s="62" t="s">
        <v>1479</v>
      </c>
      <c r="B840" s="63" t="s">
        <v>1480</v>
      </c>
      <c r="C840" s="61"/>
      <c r="D840" s="61"/>
    </row>
    <row r="841" spans="1:4" ht="24.6" customHeight="1" thickBot="1" x14ac:dyDescent="0.25">
      <c r="A841" s="62" t="s">
        <v>1481</v>
      </c>
      <c r="B841" s="63" t="s">
        <v>1482</v>
      </c>
      <c r="C841" s="61"/>
      <c r="D841" s="61"/>
    </row>
    <row r="842" spans="1:4" ht="24.6" customHeight="1" thickBot="1" x14ac:dyDescent="0.25">
      <c r="A842" s="62" t="s">
        <v>1483</v>
      </c>
      <c r="B842" s="63" t="s">
        <v>1484</v>
      </c>
      <c r="C842" s="61"/>
      <c r="D842" s="61"/>
    </row>
    <row r="843" spans="1:4" ht="24.6" customHeight="1" thickBot="1" x14ac:dyDescent="0.25">
      <c r="A843" s="914" t="s">
        <v>1485</v>
      </c>
      <c r="B843" s="915"/>
      <c r="C843" s="61"/>
      <c r="D843" s="61"/>
    </row>
    <row r="844" spans="1:4" ht="24.6" customHeight="1" thickBot="1" x14ac:dyDescent="0.25">
      <c r="A844" s="911" t="s">
        <v>140</v>
      </c>
      <c r="B844" s="912"/>
      <c r="C844" s="61"/>
      <c r="D844" s="61"/>
    </row>
    <row r="845" spans="1:4" ht="24.6" customHeight="1" thickBot="1" x14ac:dyDescent="0.25">
      <c r="A845" s="62" t="s">
        <v>1486</v>
      </c>
      <c r="B845" s="63" t="s">
        <v>1069</v>
      </c>
      <c r="C845" s="61"/>
      <c r="D845" s="61"/>
    </row>
    <row r="846" spans="1:4" ht="24.6" customHeight="1" thickBot="1" x14ac:dyDescent="0.25">
      <c r="A846" s="62" t="s">
        <v>1487</v>
      </c>
      <c r="B846" s="63" t="s">
        <v>1071</v>
      </c>
      <c r="C846" s="61"/>
      <c r="D846" s="61"/>
    </row>
    <row r="847" spans="1:4" ht="24.6" customHeight="1" thickBot="1" x14ac:dyDescent="0.25">
      <c r="A847" s="62" t="s">
        <v>1488</v>
      </c>
      <c r="B847" s="63" t="s">
        <v>1073</v>
      </c>
      <c r="C847" s="61"/>
      <c r="D847" s="61"/>
    </row>
    <row r="848" spans="1:4" ht="24.6" customHeight="1" thickBot="1" x14ac:dyDescent="0.25">
      <c r="A848" s="62" t="s">
        <v>1489</v>
      </c>
      <c r="B848" s="63" t="s">
        <v>1075</v>
      </c>
      <c r="C848" s="61"/>
      <c r="D848" s="61"/>
    </row>
    <row r="849" spans="1:4" ht="24.6" customHeight="1" thickBot="1" x14ac:dyDescent="0.25">
      <c r="A849" s="62" t="s">
        <v>1490</v>
      </c>
      <c r="B849" s="63" t="s">
        <v>1369</v>
      </c>
      <c r="C849" s="61"/>
      <c r="D849" s="61"/>
    </row>
    <row r="850" spans="1:4" ht="24.6" customHeight="1" thickBot="1" x14ac:dyDescent="0.25">
      <c r="A850" s="62" t="s">
        <v>1491</v>
      </c>
      <c r="B850" s="63" t="s">
        <v>1411</v>
      </c>
      <c r="C850" s="61"/>
      <c r="D850" s="61"/>
    </row>
    <row r="851" spans="1:4" ht="24.6" customHeight="1" thickBot="1" x14ac:dyDescent="0.25">
      <c r="A851" s="62" t="s">
        <v>1492</v>
      </c>
      <c r="B851" s="63" t="s">
        <v>1081</v>
      </c>
      <c r="C851" s="61"/>
      <c r="D851" s="61"/>
    </row>
    <row r="852" spans="1:4" ht="24.6" customHeight="1" thickBot="1" x14ac:dyDescent="0.25">
      <c r="A852" s="62" t="s">
        <v>1493</v>
      </c>
      <c r="B852" s="63" t="s">
        <v>1083</v>
      </c>
      <c r="C852" s="61"/>
      <c r="D852" s="61"/>
    </row>
    <row r="853" spans="1:4" ht="24.6" customHeight="1" thickBot="1" x14ac:dyDescent="0.25">
      <c r="A853" s="62" t="s">
        <v>1494</v>
      </c>
      <c r="B853" s="63" t="s">
        <v>1376</v>
      </c>
      <c r="C853" s="61"/>
      <c r="D853" s="61"/>
    </row>
    <row r="854" spans="1:4" ht="24.6" customHeight="1" thickBot="1" x14ac:dyDescent="0.25">
      <c r="A854" s="62" t="s">
        <v>1495</v>
      </c>
      <c r="B854" s="63" t="s">
        <v>1088</v>
      </c>
      <c r="C854" s="61"/>
      <c r="D854" s="61"/>
    </row>
    <row r="855" spans="1:4" ht="24.6" customHeight="1" thickBot="1" x14ac:dyDescent="0.25">
      <c r="A855" s="62" t="s">
        <v>1496</v>
      </c>
      <c r="B855" s="63" t="s">
        <v>1275</v>
      </c>
      <c r="C855" s="61"/>
      <c r="D855" s="61"/>
    </row>
    <row r="856" spans="1:4" ht="24.6" customHeight="1" thickBot="1" x14ac:dyDescent="0.25">
      <c r="A856" s="62" t="s">
        <v>1497</v>
      </c>
      <c r="B856" s="63" t="s">
        <v>1086</v>
      </c>
      <c r="C856" s="61"/>
      <c r="D856" s="61"/>
    </row>
    <row r="857" spans="1:4" ht="24.6" customHeight="1" thickBot="1" x14ac:dyDescent="0.25">
      <c r="A857" s="911" t="s">
        <v>1091</v>
      </c>
      <c r="B857" s="912"/>
      <c r="C857" s="61"/>
      <c r="D857" s="61"/>
    </row>
    <row r="858" spans="1:4" ht="24.6" customHeight="1" thickBot="1" x14ac:dyDescent="0.25">
      <c r="A858" s="62" t="s">
        <v>1498</v>
      </c>
      <c r="B858" s="63" t="s">
        <v>185</v>
      </c>
      <c r="C858" s="61"/>
      <c r="D858" s="61"/>
    </row>
    <row r="859" spans="1:4" ht="24.6" customHeight="1" thickBot="1" x14ac:dyDescent="0.25">
      <c r="A859" s="62" t="s">
        <v>1499</v>
      </c>
      <c r="B859" s="63" t="s">
        <v>1094</v>
      </c>
      <c r="C859" s="61"/>
      <c r="D859" s="61"/>
    </row>
    <row r="860" spans="1:4" ht="24.6" customHeight="1" thickBot="1" x14ac:dyDescent="0.25">
      <c r="A860" s="62" t="s">
        <v>1500</v>
      </c>
      <c r="B860" s="63" t="s">
        <v>1096</v>
      </c>
      <c r="C860" s="61"/>
      <c r="D860" s="61"/>
    </row>
    <row r="861" spans="1:4" ht="24.6" customHeight="1" thickBot="1" x14ac:dyDescent="0.25">
      <c r="A861" s="62" t="s">
        <v>1501</v>
      </c>
      <c r="B861" s="63" t="s">
        <v>189</v>
      </c>
      <c r="C861" s="61"/>
      <c r="D861" s="61"/>
    </row>
    <row r="862" spans="1:4" ht="24.6" customHeight="1" thickBot="1" x14ac:dyDescent="0.25">
      <c r="A862" s="62" t="s">
        <v>1502</v>
      </c>
      <c r="B862" s="63" t="s">
        <v>191</v>
      </c>
      <c r="C862" s="61"/>
      <c r="D862" s="61"/>
    </row>
    <row r="863" spans="1:4" ht="24.6" customHeight="1" thickBot="1" x14ac:dyDescent="0.25">
      <c r="A863" s="62" t="s">
        <v>1503</v>
      </c>
      <c r="B863" s="63" t="s">
        <v>193</v>
      </c>
      <c r="C863" s="61"/>
      <c r="D863" s="61"/>
    </row>
    <row r="864" spans="1:4" ht="24.6" customHeight="1" thickBot="1" x14ac:dyDescent="0.25">
      <c r="A864" s="62" t="s">
        <v>1504</v>
      </c>
      <c r="B864" s="63" t="s">
        <v>195</v>
      </c>
      <c r="C864" s="61"/>
      <c r="D864" s="61"/>
    </row>
    <row r="865" spans="1:4" ht="24.6" customHeight="1" thickBot="1" x14ac:dyDescent="0.25">
      <c r="A865" s="62" t="s">
        <v>1505</v>
      </c>
      <c r="B865" s="63" t="s">
        <v>156</v>
      </c>
      <c r="C865" s="61"/>
      <c r="D865" s="61"/>
    </row>
    <row r="866" spans="1:4" ht="24.6" customHeight="1" thickBot="1" x14ac:dyDescent="0.25">
      <c r="A866" s="911" t="s">
        <v>1170</v>
      </c>
      <c r="B866" s="912"/>
      <c r="C866" s="61"/>
      <c r="D866" s="61"/>
    </row>
    <row r="867" spans="1:4" ht="24.6" customHeight="1" thickBot="1" x14ac:dyDescent="0.25">
      <c r="A867" s="62" t="s">
        <v>1506</v>
      </c>
      <c r="B867" s="63" t="s">
        <v>1507</v>
      </c>
      <c r="C867" s="61"/>
      <c r="D867" s="61"/>
    </row>
    <row r="868" spans="1:4" ht="24.6" customHeight="1" thickBot="1" x14ac:dyDescent="0.25">
      <c r="A868" s="62" t="s">
        <v>1508</v>
      </c>
      <c r="B868" s="63" t="s">
        <v>1509</v>
      </c>
      <c r="C868" s="61"/>
      <c r="D868" s="61"/>
    </row>
    <row r="869" spans="1:4" ht="24.6" customHeight="1" thickBot="1" x14ac:dyDescent="0.25">
      <c r="A869" s="62" t="s">
        <v>1510</v>
      </c>
      <c r="B869" s="63" t="s">
        <v>1511</v>
      </c>
      <c r="C869" s="61"/>
      <c r="D869" s="61"/>
    </row>
    <row r="870" spans="1:4" ht="24.6" customHeight="1" thickBot="1" x14ac:dyDescent="0.25">
      <c r="A870" s="62" t="s">
        <v>1512</v>
      </c>
      <c r="B870" s="63" t="s">
        <v>1513</v>
      </c>
      <c r="C870" s="61"/>
      <c r="D870" s="61"/>
    </row>
    <row r="871" spans="1:4" ht="24.6" customHeight="1" thickBot="1" x14ac:dyDescent="0.25">
      <c r="A871" s="62" t="s">
        <v>1514</v>
      </c>
      <c r="B871" s="63" t="s">
        <v>1515</v>
      </c>
      <c r="C871" s="61"/>
      <c r="D871" s="61"/>
    </row>
    <row r="872" spans="1:4" ht="24.6" customHeight="1" thickBot="1" x14ac:dyDescent="0.25">
      <c r="A872" s="62" t="s">
        <v>1516</v>
      </c>
      <c r="B872" s="63" t="s">
        <v>1517</v>
      </c>
      <c r="C872" s="61"/>
      <c r="D872" s="61"/>
    </row>
    <row r="873" spans="1:4" ht="24.6" customHeight="1" thickBot="1" x14ac:dyDescent="0.25">
      <c r="A873" s="911" t="s">
        <v>1518</v>
      </c>
      <c r="B873" s="912"/>
      <c r="C873" s="61"/>
      <c r="D873" s="61"/>
    </row>
    <row r="874" spans="1:4" ht="24.6" customHeight="1" thickBot="1" x14ac:dyDescent="0.25">
      <c r="A874" s="62" t="s">
        <v>1519</v>
      </c>
      <c r="B874" s="63" t="s">
        <v>1520</v>
      </c>
      <c r="C874" s="61"/>
      <c r="D874" s="61"/>
    </row>
    <row r="875" spans="1:4" ht="24.6" customHeight="1" thickBot="1" x14ac:dyDescent="0.25">
      <c r="A875" s="62" t="s">
        <v>1521</v>
      </c>
      <c r="B875" s="63" t="s">
        <v>1522</v>
      </c>
      <c r="C875" s="61"/>
      <c r="D875" s="61"/>
    </row>
    <row r="876" spans="1:4" ht="24.6" customHeight="1" thickBot="1" x14ac:dyDescent="0.25">
      <c r="A876" s="62" t="s">
        <v>1523</v>
      </c>
      <c r="B876" s="63" t="s">
        <v>1524</v>
      </c>
      <c r="C876" s="61"/>
      <c r="D876" s="61"/>
    </row>
    <row r="877" spans="1:4" ht="24.6" customHeight="1" thickBot="1" x14ac:dyDescent="0.25">
      <c r="A877" s="911" t="s">
        <v>1209</v>
      </c>
      <c r="B877" s="912"/>
      <c r="C877" s="61"/>
      <c r="D877" s="61"/>
    </row>
    <row r="878" spans="1:4" ht="24.6" customHeight="1" thickBot="1" x14ac:dyDescent="0.25">
      <c r="A878" s="62" t="s">
        <v>1525</v>
      </c>
      <c r="B878" s="63" t="s">
        <v>1526</v>
      </c>
      <c r="C878" s="61"/>
      <c r="D878" s="61"/>
    </row>
    <row r="879" spans="1:4" ht="24.6" customHeight="1" thickBot="1" x14ac:dyDescent="0.25">
      <c r="A879" s="911" t="s">
        <v>1173</v>
      </c>
      <c r="B879" s="912"/>
      <c r="C879" s="61"/>
      <c r="D879" s="61"/>
    </row>
    <row r="880" spans="1:4" ht="24.6" customHeight="1" thickBot="1" x14ac:dyDescent="0.25">
      <c r="A880" s="62" t="s">
        <v>1527</v>
      </c>
      <c r="B880" s="63" t="s">
        <v>1528</v>
      </c>
      <c r="C880" s="61"/>
      <c r="D880" s="61"/>
    </row>
    <row r="881" spans="1:4" ht="24.6" customHeight="1" thickBot="1" x14ac:dyDescent="0.25">
      <c r="A881" s="62" t="s">
        <v>1529</v>
      </c>
      <c r="B881" s="63" t="s">
        <v>1530</v>
      </c>
      <c r="C881" s="61"/>
      <c r="D881" s="61"/>
    </row>
    <row r="882" spans="1:4" ht="24.6" customHeight="1" thickBot="1" x14ac:dyDescent="0.25">
      <c r="A882" s="62" t="s">
        <v>1531</v>
      </c>
      <c r="B882" s="63" t="s">
        <v>1532</v>
      </c>
      <c r="C882" s="61"/>
      <c r="D882" s="61"/>
    </row>
    <row r="883" spans="1:4" ht="24.6" customHeight="1" thickBot="1" x14ac:dyDescent="0.25">
      <c r="A883" s="62" t="s">
        <v>1533</v>
      </c>
      <c r="B883" s="63" t="s">
        <v>1534</v>
      </c>
      <c r="C883" s="61"/>
      <c r="D883" s="61"/>
    </row>
    <row r="884" spans="1:4" ht="24.6" customHeight="1" thickBot="1" x14ac:dyDescent="0.25">
      <c r="A884" s="62" t="s">
        <v>1535</v>
      </c>
      <c r="B884" s="63" t="s">
        <v>1536</v>
      </c>
      <c r="C884" s="61"/>
      <c r="D884" s="61"/>
    </row>
    <row r="885" spans="1:4" ht="24.6" customHeight="1" thickBot="1" x14ac:dyDescent="0.25">
      <c r="A885" s="62" t="s">
        <v>1537</v>
      </c>
      <c r="B885" s="63" t="s">
        <v>1538</v>
      </c>
      <c r="C885" s="61"/>
      <c r="D885" s="61"/>
    </row>
    <row r="886" spans="1:4" ht="24.6" customHeight="1" thickBot="1" x14ac:dyDescent="0.25">
      <c r="A886" s="62" t="s">
        <v>1539</v>
      </c>
      <c r="B886" s="63" t="s">
        <v>1540</v>
      </c>
      <c r="C886" s="61"/>
      <c r="D886" s="61"/>
    </row>
    <row r="887" spans="1:4" ht="24.6" customHeight="1" thickBot="1" x14ac:dyDescent="0.25">
      <c r="A887" s="62" t="s">
        <v>1541</v>
      </c>
      <c r="B887" s="63" t="s">
        <v>1542</v>
      </c>
      <c r="C887" s="61"/>
      <c r="D887" s="61"/>
    </row>
    <row r="888" spans="1:4" ht="24.6" customHeight="1" thickBot="1" x14ac:dyDescent="0.25">
      <c r="A888" s="62" t="s">
        <v>1543</v>
      </c>
      <c r="B888" s="63" t="s">
        <v>1544</v>
      </c>
      <c r="C888" s="61"/>
      <c r="D888" s="61"/>
    </row>
    <row r="889" spans="1:4" ht="24.6" customHeight="1" thickBot="1" x14ac:dyDescent="0.25">
      <c r="A889" s="911" t="s">
        <v>1107</v>
      </c>
      <c r="B889" s="912"/>
      <c r="C889" s="61"/>
      <c r="D889" s="61"/>
    </row>
    <row r="890" spans="1:4" ht="24.6" customHeight="1" thickBot="1" x14ac:dyDescent="0.25">
      <c r="A890" s="62" t="s">
        <v>1545</v>
      </c>
      <c r="B890" s="63" t="s">
        <v>1546</v>
      </c>
      <c r="C890" s="61"/>
      <c r="D890" s="61"/>
    </row>
    <row r="891" spans="1:4" ht="24.6" customHeight="1" thickBot="1" x14ac:dyDescent="0.25">
      <c r="A891" s="62" t="s">
        <v>1547</v>
      </c>
      <c r="B891" s="63" t="s">
        <v>1548</v>
      </c>
      <c r="C891" s="61"/>
      <c r="D891" s="61"/>
    </row>
    <row r="892" spans="1:4" ht="24.6" customHeight="1" thickBot="1" x14ac:dyDescent="0.25">
      <c r="A892" s="62" t="s">
        <v>1549</v>
      </c>
      <c r="B892" s="63" t="s">
        <v>1550</v>
      </c>
      <c r="C892" s="61"/>
      <c r="D892" s="61"/>
    </row>
    <row r="893" spans="1:4" ht="24.6" customHeight="1" thickBot="1" x14ac:dyDescent="0.25">
      <c r="A893" s="62" t="s">
        <v>1551</v>
      </c>
      <c r="B893" s="63" t="s">
        <v>1434</v>
      </c>
      <c r="C893" s="61"/>
      <c r="D893" s="61"/>
    </row>
    <row r="894" spans="1:4" ht="24.6" customHeight="1" thickBot="1" x14ac:dyDescent="0.25">
      <c r="A894" s="911" t="s">
        <v>1102</v>
      </c>
      <c r="B894" s="912"/>
      <c r="C894" s="61"/>
      <c r="D894" s="61"/>
    </row>
    <row r="895" spans="1:4" ht="24.6" customHeight="1" thickBot="1" x14ac:dyDescent="0.25">
      <c r="A895" s="62" t="s">
        <v>1552</v>
      </c>
      <c r="B895" s="63" t="s">
        <v>1553</v>
      </c>
      <c r="C895" s="61"/>
      <c r="D895" s="61"/>
    </row>
    <row r="896" spans="1:4" ht="24.6" customHeight="1" thickBot="1" x14ac:dyDescent="0.25">
      <c r="A896" s="62" t="s">
        <v>1554</v>
      </c>
      <c r="B896" s="63" t="s">
        <v>1555</v>
      </c>
      <c r="C896" s="61"/>
      <c r="D896" s="61"/>
    </row>
    <row r="897" spans="1:4" s="83" customFormat="1" ht="24.6" customHeight="1" thickBot="1" x14ac:dyDescent="0.25">
      <c r="A897" s="931" t="s">
        <v>1556</v>
      </c>
      <c r="B897" s="932"/>
      <c r="C897" s="82"/>
      <c r="D897" s="82"/>
    </row>
    <row r="898" spans="1:4" s="83" customFormat="1" ht="24.6" customHeight="1" thickBot="1" x14ac:dyDescent="0.25">
      <c r="A898" s="927" t="s">
        <v>140</v>
      </c>
      <c r="B898" s="928"/>
      <c r="C898" s="82"/>
      <c r="D898" s="82"/>
    </row>
    <row r="899" spans="1:4" s="83" customFormat="1" ht="24.6" customHeight="1" thickBot="1" x14ac:dyDescent="0.25">
      <c r="A899" s="84" t="s">
        <v>1557</v>
      </c>
      <c r="B899" s="85" t="s">
        <v>1069</v>
      </c>
      <c r="C899" s="82"/>
      <c r="D899" s="82"/>
    </row>
    <row r="900" spans="1:4" s="83" customFormat="1" ht="24.6" customHeight="1" thickBot="1" x14ac:dyDescent="0.25">
      <c r="A900" s="84" t="s">
        <v>1558</v>
      </c>
      <c r="B900" s="85" t="s">
        <v>1071</v>
      </c>
      <c r="C900" s="82"/>
      <c r="D900" s="82"/>
    </row>
    <row r="901" spans="1:4" s="83" customFormat="1" ht="24.6" customHeight="1" thickBot="1" x14ac:dyDescent="0.25">
      <c r="A901" s="84" t="s">
        <v>1559</v>
      </c>
      <c r="B901" s="85" t="s">
        <v>1073</v>
      </c>
      <c r="C901" s="82"/>
      <c r="D901" s="82"/>
    </row>
    <row r="902" spans="1:4" s="83" customFormat="1" ht="24.6" customHeight="1" thickBot="1" x14ac:dyDescent="0.25">
      <c r="A902" s="84" t="s">
        <v>1560</v>
      </c>
      <c r="B902" s="85" t="s">
        <v>1075</v>
      </c>
      <c r="C902" s="82"/>
      <c r="D902" s="82"/>
    </row>
    <row r="903" spans="1:4" s="83" customFormat="1" ht="24.6" customHeight="1" thickBot="1" x14ac:dyDescent="0.25">
      <c r="A903" s="84" t="s">
        <v>1561</v>
      </c>
      <c r="B903" s="85" t="s">
        <v>1562</v>
      </c>
      <c r="C903" s="82"/>
      <c r="D903" s="82"/>
    </row>
    <row r="904" spans="1:4" s="83" customFormat="1" ht="24.6" customHeight="1" thickBot="1" x14ac:dyDescent="0.25">
      <c r="A904" s="84" t="s">
        <v>1563</v>
      </c>
      <c r="B904" s="85" t="s">
        <v>1411</v>
      </c>
      <c r="C904" s="82"/>
      <c r="D904" s="82"/>
    </row>
    <row r="905" spans="1:4" s="83" customFormat="1" ht="24.6" customHeight="1" thickBot="1" x14ac:dyDescent="0.25">
      <c r="A905" s="84" t="s">
        <v>1564</v>
      </c>
      <c r="B905" s="85" t="s">
        <v>1081</v>
      </c>
      <c r="C905" s="82"/>
      <c r="D905" s="82"/>
    </row>
    <row r="906" spans="1:4" s="83" customFormat="1" ht="24.6" customHeight="1" thickBot="1" x14ac:dyDescent="0.25">
      <c r="A906" s="84" t="s">
        <v>1565</v>
      </c>
      <c r="B906" s="85" t="s">
        <v>1083</v>
      </c>
      <c r="C906" s="82"/>
      <c r="D906" s="82"/>
    </row>
    <row r="907" spans="1:4" s="83" customFormat="1" ht="24.6" customHeight="1" thickBot="1" x14ac:dyDescent="0.25">
      <c r="A907" s="86">
        <v>40149</v>
      </c>
      <c r="B907" s="85" t="s">
        <v>1566</v>
      </c>
      <c r="C907" s="82"/>
      <c r="D907" s="82"/>
    </row>
    <row r="908" spans="1:4" s="83" customFormat="1" ht="24.6" customHeight="1" thickBot="1" x14ac:dyDescent="0.25">
      <c r="A908" s="84" t="s">
        <v>1567</v>
      </c>
      <c r="B908" s="85" t="s">
        <v>1376</v>
      </c>
      <c r="C908" s="82"/>
      <c r="D908" s="82"/>
    </row>
    <row r="909" spans="1:4" s="83" customFormat="1" ht="24.6" customHeight="1" thickBot="1" x14ac:dyDescent="0.25">
      <c r="A909" s="84" t="s">
        <v>1568</v>
      </c>
      <c r="B909" s="85" t="s">
        <v>1275</v>
      </c>
      <c r="C909" s="82"/>
      <c r="D909" s="82"/>
    </row>
    <row r="910" spans="1:4" s="83" customFormat="1" ht="24.6" customHeight="1" thickBot="1" x14ac:dyDescent="0.25">
      <c r="A910" s="84" t="s">
        <v>1569</v>
      </c>
      <c r="B910" s="85" t="s">
        <v>1086</v>
      </c>
      <c r="C910" s="82"/>
      <c r="D910" s="82"/>
    </row>
    <row r="911" spans="1:4" s="83" customFormat="1" ht="24.6" customHeight="1" thickBot="1" x14ac:dyDescent="0.25">
      <c r="A911" s="927" t="s">
        <v>1570</v>
      </c>
      <c r="B911" s="928"/>
      <c r="C911" s="82"/>
      <c r="D911" s="82"/>
    </row>
    <row r="912" spans="1:4" s="83" customFormat="1" ht="24.6" customHeight="1" thickBot="1" x14ac:dyDescent="0.25">
      <c r="A912" s="84" t="s">
        <v>1571</v>
      </c>
      <c r="B912" s="85" t="s">
        <v>185</v>
      </c>
      <c r="C912" s="82"/>
      <c r="D912" s="82"/>
    </row>
    <row r="913" spans="1:4" s="83" customFormat="1" ht="24.6" customHeight="1" thickBot="1" x14ac:dyDescent="0.25">
      <c r="A913" s="84" t="s">
        <v>1572</v>
      </c>
      <c r="B913" s="85" t="s">
        <v>1094</v>
      </c>
      <c r="C913" s="82"/>
      <c r="D913" s="82"/>
    </row>
    <row r="914" spans="1:4" s="83" customFormat="1" ht="24.6" customHeight="1" thickBot="1" x14ac:dyDescent="0.25">
      <c r="A914" s="84" t="s">
        <v>1573</v>
      </c>
      <c r="B914" s="85" t="s">
        <v>1096</v>
      </c>
      <c r="C914" s="82"/>
      <c r="D914" s="82"/>
    </row>
    <row r="915" spans="1:4" s="83" customFormat="1" ht="24.6" customHeight="1" thickBot="1" x14ac:dyDescent="0.25">
      <c r="A915" s="84" t="s">
        <v>1574</v>
      </c>
      <c r="B915" s="85" t="s">
        <v>189</v>
      </c>
      <c r="C915" s="82"/>
      <c r="D915" s="82"/>
    </row>
    <row r="916" spans="1:4" s="83" customFormat="1" ht="24.6" customHeight="1" thickBot="1" x14ac:dyDescent="0.25">
      <c r="A916" s="84" t="s">
        <v>1575</v>
      </c>
      <c r="B916" s="85" t="s">
        <v>191</v>
      </c>
      <c r="C916" s="82"/>
      <c r="D916" s="82"/>
    </row>
    <row r="917" spans="1:4" s="83" customFormat="1" ht="24.6" customHeight="1" thickBot="1" x14ac:dyDescent="0.25">
      <c r="A917" s="84" t="s">
        <v>1576</v>
      </c>
      <c r="B917" s="85" t="s">
        <v>193</v>
      </c>
      <c r="C917" s="82"/>
      <c r="D917" s="82"/>
    </row>
    <row r="918" spans="1:4" s="83" customFormat="1" ht="24.6" customHeight="1" thickBot="1" x14ac:dyDescent="0.25">
      <c r="A918" s="84" t="s">
        <v>1577</v>
      </c>
      <c r="B918" s="85" t="s">
        <v>195</v>
      </c>
      <c r="C918" s="82"/>
      <c r="D918" s="82"/>
    </row>
    <row r="919" spans="1:4" s="83" customFormat="1" ht="24.6" customHeight="1" thickBot="1" x14ac:dyDescent="0.25">
      <c r="A919" s="84" t="s">
        <v>1578</v>
      </c>
      <c r="B919" s="85" t="s">
        <v>156</v>
      </c>
      <c r="C919" s="82"/>
      <c r="D919" s="82"/>
    </row>
    <row r="920" spans="1:4" s="83" customFormat="1" ht="24.6" customHeight="1" thickBot="1" x14ac:dyDescent="0.25">
      <c r="A920" s="927" t="s">
        <v>1170</v>
      </c>
      <c r="B920" s="928"/>
      <c r="C920" s="82"/>
      <c r="D920" s="82"/>
    </row>
    <row r="921" spans="1:4" s="83" customFormat="1" ht="24.6" customHeight="1" thickBot="1" x14ac:dyDescent="0.25">
      <c r="A921" s="84" t="s">
        <v>1579</v>
      </c>
      <c r="B921" s="85" t="s">
        <v>1580</v>
      </c>
      <c r="C921" s="82"/>
      <c r="D921" s="82"/>
    </row>
    <row r="922" spans="1:4" s="83" customFormat="1" ht="24.6" customHeight="1" thickBot="1" x14ac:dyDescent="0.25">
      <c r="A922" s="84" t="s">
        <v>1581</v>
      </c>
      <c r="B922" s="85" t="s">
        <v>1582</v>
      </c>
      <c r="C922" s="82"/>
      <c r="D922" s="82"/>
    </row>
    <row r="923" spans="1:4" s="83" customFormat="1" ht="24.6" customHeight="1" thickBot="1" x14ac:dyDescent="0.25">
      <c r="A923" s="84" t="s">
        <v>1583</v>
      </c>
      <c r="B923" s="85" t="s">
        <v>1584</v>
      </c>
      <c r="C923" s="82"/>
      <c r="D923" s="82"/>
    </row>
    <row r="924" spans="1:4" s="83" customFormat="1" ht="24.6" customHeight="1" thickBot="1" x14ac:dyDescent="0.25">
      <c r="A924" s="84" t="s">
        <v>1585</v>
      </c>
      <c r="B924" s="85" t="s">
        <v>1586</v>
      </c>
      <c r="C924" s="82"/>
      <c r="D924" s="82"/>
    </row>
    <row r="925" spans="1:4" s="83" customFormat="1" ht="24.6" customHeight="1" thickBot="1" x14ac:dyDescent="0.25">
      <c r="A925" s="84" t="s">
        <v>1587</v>
      </c>
      <c r="B925" s="85" t="s">
        <v>1588</v>
      </c>
      <c r="C925" s="82"/>
      <c r="D925" s="82"/>
    </row>
    <row r="926" spans="1:4" s="83" customFormat="1" ht="24.6" customHeight="1" thickBot="1" x14ac:dyDescent="0.25">
      <c r="A926" s="927" t="s">
        <v>1173</v>
      </c>
      <c r="B926" s="928"/>
      <c r="C926" s="82"/>
      <c r="D926" s="82"/>
    </row>
    <row r="927" spans="1:4" s="83" customFormat="1" ht="24.6" customHeight="1" thickBot="1" x14ac:dyDescent="0.25">
      <c r="A927" s="84" t="s">
        <v>1589</v>
      </c>
      <c r="B927" s="85" t="s">
        <v>1590</v>
      </c>
      <c r="C927" s="82"/>
      <c r="D927" s="82"/>
    </row>
    <row r="928" spans="1:4" s="83" customFormat="1" ht="24.6" customHeight="1" thickBot="1" x14ac:dyDescent="0.25">
      <c r="A928" s="84" t="s">
        <v>1591</v>
      </c>
      <c r="B928" s="85" t="s">
        <v>1592</v>
      </c>
      <c r="C928" s="82"/>
      <c r="D928" s="82"/>
    </row>
    <row r="929" spans="1:4" s="83" customFormat="1" ht="24.6" customHeight="1" thickBot="1" x14ac:dyDescent="0.25">
      <c r="A929" s="84" t="s">
        <v>1593</v>
      </c>
      <c r="B929" s="85" t="s">
        <v>1594</v>
      </c>
      <c r="C929" s="82"/>
      <c r="D929" s="82"/>
    </row>
    <row r="930" spans="1:4" s="83" customFormat="1" ht="24.6" customHeight="1" thickBot="1" x14ac:dyDescent="0.25">
      <c r="A930" s="84" t="s">
        <v>1595</v>
      </c>
      <c r="B930" s="85" t="s">
        <v>1596</v>
      </c>
      <c r="C930" s="82"/>
      <c r="D930" s="82"/>
    </row>
    <row r="931" spans="1:4" s="83" customFormat="1" ht="24.6" customHeight="1" thickBot="1" x14ac:dyDescent="0.25">
      <c r="A931" s="84" t="s">
        <v>1597</v>
      </c>
      <c r="B931" s="85" t="s">
        <v>1598</v>
      </c>
      <c r="C931" s="82"/>
      <c r="D931" s="82"/>
    </row>
    <row r="932" spans="1:4" s="83" customFormat="1" ht="24.6" customHeight="1" thickBot="1" x14ac:dyDescent="0.25">
      <c r="A932" s="84" t="s">
        <v>1599</v>
      </c>
      <c r="B932" s="85" t="s">
        <v>1600</v>
      </c>
      <c r="C932" s="82"/>
      <c r="D932" s="82"/>
    </row>
    <row r="933" spans="1:4" s="83" customFormat="1" ht="24.6" customHeight="1" thickBot="1" x14ac:dyDescent="0.25">
      <c r="A933" s="927" t="s">
        <v>1102</v>
      </c>
      <c r="B933" s="928"/>
      <c r="C933" s="82"/>
      <c r="D933" s="82"/>
    </row>
    <row r="934" spans="1:4" s="83" customFormat="1" ht="24.6" customHeight="1" thickBot="1" x14ac:dyDescent="0.25">
      <c r="A934" s="84" t="s">
        <v>1601</v>
      </c>
      <c r="B934" s="85" t="s">
        <v>1602</v>
      </c>
      <c r="C934" s="82"/>
      <c r="D934" s="82"/>
    </row>
    <row r="935" spans="1:4" s="83" customFormat="1" ht="24.6" customHeight="1" thickBot="1" x14ac:dyDescent="0.25">
      <c r="A935" s="84" t="s">
        <v>1603</v>
      </c>
      <c r="B935" s="85" t="s">
        <v>1604</v>
      </c>
      <c r="C935" s="82"/>
      <c r="D935" s="82"/>
    </row>
    <row r="936" spans="1:4" s="83" customFormat="1" ht="24.6" customHeight="1" thickBot="1" x14ac:dyDescent="0.25">
      <c r="A936" s="927" t="s">
        <v>1107</v>
      </c>
      <c r="B936" s="928"/>
      <c r="C936" s="82"/>
      <c r="D936" s="82"/>
    </row>
    <row r="937" spans="1:4" s="83" customFormat="1" ht="24.6" customHeight="1" thickBot="1" x14ac:dyDescent="0.25">
      <c r="A937" s="84" t="s">
        <v>1605</v>
      </c>
      <c r="B937" s="85" t="s">
        <v>1606</v>
      </c>
      <c r="C937" s="82"/>
      <c r="D937" s="82"/>
    </row>
    <row r="938" spans="1:4" s="83" customFormat="1" ht="24.6" customHeight="1" thickBot="1" x14ac:dyDescent="0.25">
      <c r="A938" s="84" t="s">
        <v>1607</v>
      </c>
      <c r="B938" s="85" t="s">
        <v>1608</v>
      </c>
      <c r="C938" s="82"/>
      <c r="D938" s="82"/>
    </row>
    <row r="939" spans="1:4" s="83" customFormat="1" ht="24.6" customHeight="1" thickBot="1" x14ac:dyDescent="0.25">
      <c r="A939" s="931" t="s">
        <v>1609</v>
      </c>
      <c r="B939" s="932"/>
      <c r="C939" s="82"/>
      <c r="D939" s="82"/>
    </row>
    <row r="940" spans="1:4" s="83" customFormat="1" ht="24.6" customHeight="1" thickBot="1" x14ac:dyDescent="0.25">
      <c r="A940" s="927" t="s">
        <v>140</v>
      </c>
      <c r="B940" s="928"/>
      <c r="C940" s="82"/>
      <c r="D940" s="82"/>
    </row>
    <row r="941" spans="1:4" s="83" customFormat="1" ht="24.6" customHeight="1" thickBot="1" x14ac:dyDescent="0.25">
      <c r="A941" s="84" t="s">
        <v>1610</v>
      </c>
      <c r="B941" s="85" t="s">
        <v>1069</v>
      </c>
      <c r="C941" s="82"/>
      <c r="D941" s="82"/>
    </row>
    <row r="942" spans="1:4" s="83" customFormat="1" ht="24.6" customHeight="1" thickBot="1" x14ac:dyDescent="0.25">
      <c r="A942" s="84" t="s">
        <v>1611</v>
      </c>
      <c r="B942" s="85" t="s">
        <v>1071</v>
      </c>
      <c r="C942" s="82"/>
      <c r="D942" s="82"/>
    </row>
    <row r="943" spans="1:4" s="83" customFormat="1" ht="24.6" customHeight="1" thickBot="1" x14ac:dyDescent="0.25">
      <c r="A943" s="84" t="s">
        <v>1612</v>
      </c>
      <c r="B943" s="85" t="s">
        <v>1073</v>
      </c>
      <c r="C943" s="82"/>
      <c r="D943" s="82"/>
    </row>
    <row r="944" spans="1:4" s="83" customFormat="1" ht="24.6" customHeight="1" thickBot="1" x14ac:dyDescent="0.25">
      <c r="A944" s="84" t="s">
        <v>1613</v>
      </c>
      <c r="B944" s="85" t="s">
        <v>1075</v>
      </c>
      <c r="C944" s="82"/>
      <c r="D944" s="82"/>
    </row>
    <row r="945" spans="1:4" s="83" customFormat="1" ht="24.6" customHeight="1" thickBot="1" x14ac:dyDescent="0.25">
      <c r="A945" s="84" t="s">
        <v>1614</v>
      </c>
      <c r="B945" s="85" t="s">
        <v>1369</v>
      </c>
      <c r="C945" s="82"/>
      <c r="D945" s="82"/>
    </row>
    <row r="946" spans="1:4" s="83" customFormat="1" ht="24.6" customHeight="1" thickBot="1" x14ac:dyDescent="0.25">
      <c r="A946" s="84" t="s">
        <v>1615</v>
      </c>
      <c r="B946" s="85" t="s">
        <v>1411</v>
      </c>
      <c r="C946" s="82"/>
      <c r="D946" s="82"/>
    </row>
    <row r="947" spans="1:4" s="83" customFormat="1" ht="24.6" customHeight="1" thickBot="1" x14ac:dyDescent="0.25">
      <c r="A947" s="84" t="s">
        <v>1616</v>
      </c>
      <c r="B947" s="85" t="s">
        <v>1081</v>
      </c>
      <c r="C947" s="82"/>
      <c r="D947" s="82"/>
    </row>
    <row r="948" spans="1:4" s="83" customFormat="1" ht="24.6" customHeight="1" thickBot="1" x14ac:dyDescent="0.25">
      <c r="A948" s="84" t="s">
        <v>1617</v>
      </c>
      <c r="B948" s="85" t="s">
        <v>1083</v>
      </c>
      <c r="C948" s="82"/>
      <c r="D948" s="82"/>
    </row>
    <row r="949" spans="1:4" s="83" customFormat="1" ht="24.6" customHeight="1" thickBot="1" x14ac:dyDescent="0.25">
      <c r="A949" s="84" t="s">
        <v>1618</v>
      </c>
      <c r="B949" s="85" t="s">
        <v>1376</v>
      </c>
      <c r="C949" s="82"/>
      <c r="D949" s="82"/>
    </row>
    <row r="950" spans="1:4" s="83" customFormat="1" ht="24.6" customHeight="1" thickBot="1" x14ac:dyDescent="0.25">
      <c r="A950" s="84" t="s">
        <v>1619</v>
      </c>
      <c r="B950" s="85" t="s">
        <v>1275</v>
      </c>
      <c r="C950" s="82"/>
      <c r="D950" s="82"/>
    </row>
    <row r="951" spans="1:4" s="83" customFormat="1" ht="24.6" customHeight="1" thickBot="1" x14ac:dyDescent="0.25">
      <c r="A951" s="84" t="s">
        <v>1620</v>
      </c>
      <c r="B951" s="85" t="s">
        <v>1086</v>
      </c>
      <c r="C951" s="82"/>
      <c r="D951" s="82"/>
    </row>
    <row r="952" spans="1:4" s="83" customFormat="1" ht="24.6" customHeight="1" thickBot="1" x14ac:dyDescent="0.25">
      <c r="A952" s="927" t="s">
        <v>1091</v>
      </c>
      <c r="B952" s="928"/>
      <c r="C952" s="82"/>
      <c r="D952" s="82"/>
    </row>
    <row r="953" spans="1:4" s="83" customFormat="1" ht="24.6" customHeight="1" thickBot="1" x14ac:dyDescent="0.25">
      <c r="A953" s="84" t="s">
        <v>1621</v>
      </c>
      <c r="B953" s="85" t="s">
        <v>185</v>
      </c>
      <c r="C953" s="82"/>
      <c r="D953" s="82"/>
    </row>
    <row r="954" spans="1:4" s="83" customFormat="1" ht="24.6" customHeight="1" thickBot="1" x14ac:dyDescent="0.25">
      <c r="A954" s="84" t="s">
        <v>1622</v>
      </c>
      <c r="B954" s="85" t="s">
        <v>1094</v>
      </c>
      <c r="C954" s="82"/>
      <c r="D954" s="82"/>
    </row>
    <row r="955" spans="1:4" s="83" customFormat="1" ht="24.6" customHeight="1" thickBot="1" x14ac:dyDescent="0.25">
      <c r="A955" s="84" t="s">
        <v>1623</v>
      </c>
      <c r="B955" s="85" t="s">
        <v>1096</v>
      </c>
      <c r="C955" s="82"/>
      <c r="D955" s="82"/>
    </row>
    <row r="956" spans="1:4" s="83" customFormat="1" ht="24.6" customHeight="1" thickBot="1" x14ac:dyDescent="0.25">
      <c r="A956" s="84" t="s">
        <v>1624</v>
      </c>
      <c r="B956" s="85" t="s">
        <v>189</v>
      </c>
      <c r="C956" s="82"/>
      <c r="D956" s="82"/>
    </row>
    <row r="957" spans="1:4" s="83" customFormat="1" ht="24.6" customHeight="1" thickBot="1" x14ac:dyDescent="0.25">
      <c r="A957" s="84" t="s">
        <v>1625</v>
      </c>
      <c r="B957" s="85" t="s">
        <v>191</v>
      </c>
      <c r="C957" s="82"/>
      <c r="D957" s="82"/>
    </row>
    <row r="958" spans="1:4" s="83" customFormat="1" ht="24.6" customHeight="1" thickBot="1" x14ac:dyDescent="0.25">
      <c r="A958" s="84" t="s">
        <v>1626</v>
      </c>
      <c r="B958" s="85" t="s">
        <v>193</v>
      </c>
      <c r="C958" s="82"/>
      <c r="D958" s="82"/>
    </row>
    <row r="959" spans="1:4" s="83" customFormat="1" ht="24.6" customHeight="1" thickBot="1" x14ac:dyDescent="0.25">
      <c r="A959" s="84" t="s">
        <v>1627</v>
      </c>
      <c r="B959" s="85" t="s">
        <v>195</v>
      </c>
      <c r="C959" s="82"/>
      <c r="D959" s="82"/>
    </row>
    <row r="960" spans="1:4" s="83" customFormat="1" ht="24.6" customHeight="1" thickBot="1" x14ac:dyDescent="0.25">
      <c r="A960" s="84" t="s">
        <v>1628</v>
      </c>
      <c r="B960" s="85" t="s">
        <v>156</v>
      </c>
      <c r="C960" s="82"/>
      <c r="D960" s="82"/>
    </row>
    <row r="961" spans="1:4" s="83" customFormat="1" ht="24.6" customHeight="1" thickBot="1" x14ac:dyDescent="0.25">
      <c r="A961" s="927" t="s">
        <v>1629</v>
      </c>
      <c r="B961" s="928"/>
      <c r="C961" s="82"/>
      <c r="D961" s="82"/>
    </row>
    <row r="962" spans="1:4" s="83" customFormat="1" ht="24.6" customHeight="1" thickBot="1" x14ac:dyDescent="0.25">
      <c r="A962" s="84" t="s">
        <v>1630</v>
      </c>
      <c r="B962" s="85" t="s">
        <v>347</v>
      </c>
      <c r="C962" s="82"/>
      <c r="D962" s="82"/>
    </row>
    <row r="963" spans="1:4" s="83" customFormat="1" ht="24.6" customHeight="1" thickBot="1" x14ac:dyDescent="0.25">
      <c r="A963" s="84" t="s">
        <v>1631</v>
      </c>
      <c r="B963" s="85" t="s">
        <v>1632</v>
      </c>
      <c r="C963" s="82"/>
      <c r="D963" s="82"/>
    </row>
    <row r="964" spans="1:4" s="83" customFormat="1" ht="24.6" customHeight="1" thickBot="1" x14ac:dyDescent="0.25">
      <c r="A964" s="84" t="s">
        <v>1633</v>
      </c>
      <c r="B964" s="85" t="s">
        <v>1634</v>
      </c>
      <c r="C964" s="82"/>
      <c r="D964" s="82"/>
    </row>
    <row r="965" spans="1:4" s="83" customFormat="1" ht="24.6" customHeight="1" thickBot="1" x14ac:dyDescent="0.25">
      <c r="A965" s="84" t="s">
        <v>1635</v>
      </c>
      <c r="B965" s="85" t="s">
        <v>1636</v>
      </c>
      <c r="C965" s="82"/>
      <c r="D965" s="82"/>
    </row>
    <row r="966" spans="1:4" s="83" customFormat="1" ht="24.6" customHeight="1" thickBot="1" x14ac:dyDescent="0.25">
      <c r="A966" s="84" t="s">
        <v>1637</v>
      </c>
      <c r="B966" s="85" t="s">
        <v>1638</v>
      </c>
      <c r="C966" s="82"/>
      <c r="D966" s="82"/>
    </row>
    <row r="967" spans="1:4" s="83" customFormat="1" ht="24.6" customHeight="1" thickBot="1" x14ac:dyDescent="0.25">
      <c r="A967" s="84" t="s">
        <v>1639</v>
      </c>
      <c r="B967" s="85" t="s">
        <v>1640</v>
      </c>
      <c r="C967" s="82"/>
      <c r="D967" s="82"/>
    </row>
    <row r="968" spans="1:4" s="83" customFormat="1" ht="24.6" customHeight="1" thickBot="1" x14ac:dyDescent="0.25">
      <c r="A968" s="84" t="s">
        <v>1641</v>
      </c>
      <c r="B968" s="85" t="s">
        <v>1642</v>
      </c>
      <c r="C968" s="82"/>
      <c r="D968" s="82"/>
    </row>
    <row r="969" spans="1:4" s="83" customFormat="1" ht="24.6" customHeight="1" thickBot="1" x14ac:dyDescent="0.25">
      <c r="A969" s="84" t="s">
        <v>1643</v>
      </c>
      <c r="B969" s="85" t="s">
        <v>1644</v>
      </c>
      <c r="C969" s="82"/>
      <c r="D969" s="82"/>
    </row>
    <row r="970" spans="1:4" s="83" customFormat="1" ht="24.6" customHeight="1" thickBot="1" x14ac:dyDescent="0.25">
      <c r="A970" s="84" t="s">
        <v>1645</v>
      </c>
      <c r="B970" s="85" t="s">
        <v>1646</v>
      </c>
      <c r="C970" s="82"/>
      <c r="D970" s="82"/>
    </row>
    <row r="971" spans="1:4" s="83" customFormat="1" ht="24.6" customHeight="1" thickBot="1" x14ac:dyDescent="0.25">
      <c r="A971" s="84" t="s">
        <v>1647</v>
      </c>
      <c r="B971" s="85" t="s">
        <v>1648</v>
      </c>
      <c r="C971" s="82"/>
      <c r="D971" s="82"/>
    </row>
    <row r="972" spans="1:4" s="83" customFormat="1" ht="24.6" customHeight="1" thickBot="1" x14ac:dyDescent="0.25">
      <c r="A972" s="84" t="s">
        <v>1649</v>
      </c>
      <c r="B972" s="85" t="s">
        <v>1650</v>
      </c>
      <c r="C972" s="82"/>
      <c r="D972" s="82"/>
    </row>
    <row r="973" spans="1:4" s="83" customFormat="1" ht="24.6" customHeight="1" thickBot="1" x14ac:dyDescent="0.25">
      <c r="A973" s="84" t="s">
        <v>1651</v>
      </c>
      <c r="B973" s="85" t="s">
        <v>1652</v>
      </c>
      <c r="C973" s="82"/>
      <c r="D973" s="82"/>
    </row>
    <row r="974" spans="1:4" s="83" customFormat="1" ht="24.6" customHeight="1" thickBot="1" x14ac:dyDescent="0.25">
      <c r="A974" s="84" t="s">
        <v>1653</v>
      </c>
      <c r="B974" s="85" t="s">
        <v>1654</v>
      </c>
      <c r="C974" s="82"/>
      <c r="D974" s="82"/>
    </row>
    <row r="975" spans="1:4" s="83" customFormat="1" ht="24.6" customHeight="1" thickBot="1" x14ac:dyDescent="0.25">
      <c r="A975" s="84" t="s">
        <v>1655</v>
      </c>
      <c r="B975" s="85" t="s">
        <v>1656</v>
      </c>
      <c r="C975" s="82"/>
      <c r="D975" s="82"/>
    </row>
    <row r="976" spans="1:4" s="83" customFormat="1" ht="24.6" customHeight="1" thickBot="1" x14ac:dyDescent="0.25">
      <c r="A976" s="84" t="s">
        <v>1657</v>
      </c>
      <c r="B976" s="85" t="s">
        <v>1658</v>
      </c>
      <c r="C976" s="82"/>
      <c r="D976" s="82"/>
    </row>
    <row r="977" spans="1:4" s="83" customFormat="1" ht="24.6" customHeight="1" thickBot="1" x14ac:dyDescent="0.25">
      <c r="A977" s="84" t="s">
        <v>1659</v>
      </c>
      <c r="B977" s="85" t="s">
        <v>1660</v>
      </c>
      <c r="C977" s="82"/>
      <c r="D977" s="82"/>
    </row>
    <row r="978" spans="1:4" s="83" customFormat="1" ht="24.6" customHeight="1" thickBot="1" x14ac:dyDescent="0.25">
      <c r="A978" s="84" t="s">
        <v>1661</v>
      </c>
      <c r="B978" s="85" t="s">
        <v>1662</v>
      </c>
      <c r="C978" s="82"/>
      <c r="D978" s="82"/>
    </row>
    <row r="979" spans="1:4" s="83" customFormat="1" ht="24.6" customHeight="1" thickBot="1" x14ac:dyDescent="0.25">
      <c r="A979" s="84" t="s">
        <v>1663</v>
      </c>
      <c r="B979" s="85" t="s">
        <v>1664</v>
      </c>
      <c r="C979" s="82"/>
      <c r="D979" s="82"/>
    </row>
    <row r="980" spans="1:4" s="83" customFormat="1" ht="24.6" customHeight="1" x14ac:dyDescent="0.25">
      <c r="A980" s="929" t="s">
        <v>1102</v>
      </c>
      <c r="B980" s="930"/>
      <c r="C980" s="82"/>
      <c r="D980" s="87"/>
    </row>
    <row r="981" spans="1:4" s="83" customFormat="1" ht="24.6" customHeight="1" thickBot="1" x14ac:dyDescent="0.25">
      <c r="A981" s="84" t="s">
        <v>1665</v>
      </c>
      <c r="B981" s="85" t="s">
        <v>1666</v>
      </c>
      <c r="C981" s="82"/>
      <c r="D981" s="82"/>
    </row>
    <row r="982" spans="1:4" s="83" customFormat="1" ht="24.6" customHeight="1" thickBot="1" x14ac:dyDescent="0.25">
      <c r="A982" s="84" t="s">
        <v>1667</v>
      </c>
      <c r="B982" s="85" t="s">
        <v>1604</v>
      </c>
      <c r="C982" s="82"/>
      <c r="D982" s="82"/>
    </row>
    <row r="983" spans="1:4" s="83" customFormat="1" ht="24.6" customHeight="1" thickBot="1" x14ac:dyDescent="0.25">
      <c r="A983" s="927" t="s">
        <v>1107</v>
      </c>
      <c r="B983" s="928"/>
      <c r="C983" s="82"/>
      <c r="D983" s="82"/>
    </row>
    <row r="984" spans="1:4" s="83" customFormat="1" ht="24.6" customHeight="1" thickBot="1" x14ac:dyDescent="0.25">
      <c r="A984" s="84" t="s">
        <v>1668</v>
      </c>
      <c r="B984" s="85" t="s">
        <v>1669</v>
      </c>
      <c r="C984" s="82"/>
      <c r="D984" s="82"/>
    </row>
    <row r="985" spans="1:4" s="83" customFormat="1" ht="24.6" customHeight="1" thickBot="1" x14ac:dyDescent="0.25">
      <c r="A985" s="84" t="s">
        <v>1670</v>
      </c>
      <c r="B985" s="85" t="s">
        <v>1671</v>
      </c>
      <c r="C985" s="82"/>
      <c r="D985" s="82"/>
    </row>
    <row r="986" spans="1:4" s="83" customFormat="1" ht="24.6" customHeight="1" thickBot="1" x14ac:dyDescent="0.25">
      <c r="A986" s="84" t="s">
        <v>1672</v>
      </c>
      <c r="B986" s="85" t="s">
        <v>1673</v>
      </c>
      <c r="C986" s="82"/>
      <c r="D986" s="82"/>
    </row>
    <row r="987" spans="1:4" ht="24.6" customHeight="1" thickBot="1" x14ac:dyDescent="0.25">
      <c r="A987" s="914" t="s">
        <v>1674</v>
      </c>
      <c r="B987" s="915"/>
      <c r="C987" s="61"/>
      <c r="D987" s="61"/>
    </row>
    <row r="988" spans="1:4" ht="24.6" customHeight="1" thickBot="1" x14ac:dyDescent="0.25">
      <c r="A988" s="911" t="s">
        <v>140</v>
      </c>
      <c r="B988" s="912"/>
      <c r="C988" s="61"/>
      <c r="D988" s="61"/>
    </row>
    <row r="989" spans="1:4" ht="24.6" customHeight="1" thickBot="1" x14ac:dyDescent="0.25">
      <c r="A989" s="62" t="s">
        <v>1675</v>
      </c>
      <c r="B989" s="63" t="s">
        <v>1676</v>
      </c>
      <c r="C989" s="61"/>
      <c r="D989" s="61"/>
    </row>
    <row r="990" spans="1:4" ht="24.6" customHeight="1" thickBot="1" x14ac:dyDescent="0.25">
      <c r="A990" s="62" t="s">
        <v>1677</v>
      </c>
      <c r="B990" s="63" t="s">
        <v>1069</v>
      </c>
      <c r="C990" s="61"/>
      <c r="D990" s="61"/>
    </row>
    <row r="991" spans="1:4" ht="24.6" customHeight="1" thickBot="1" x14ac:dyDescent="0.25">
      <c r="A991" s="62" t="s">
        <v>1678</v>
      </c>
      <c r="B991" s="63" t="s">
        <v>1679</v>
      </c>
      <c r="C991" s="61"/>
      <c r="D991" s="61"/>
    </row>
    <row r="992" spans="1:4" ht="24.6" customHeight="1" thickBot="1" x14ac:dyDescent="0.25">
      <c r="A992" s="62" t="s">
        <v>1680</v>
      </c>
      <c r="B992" s="63" t="s">
        <v>1071</v>
      </c>
      <c r="C992" s="61"/>
      <c r="D992" s="61"/>
    </row>
    <row r="993" spans="1:4" ht="24.6" customHeight="1" thickBot="1" x14ac:dyDescent="0.25">
      <c r="A993" s="62" t="s">
        <v>1681</v>
      </c>
      <c r="B993" s="63" t="s">
        <v>1073</v>
      </c>
      <c r="C993" s="61"/>
      <c r="D993" s="61"/>
    </row>
    <row r="994" spans="1:4" ht="24.6" customHeight="1" thickBot="1" x14ac:dyDescent="0.25">
      <c r="A994" s="62" t="s">
        <v>1682</v>
      </c>
      <c r="B994" s="63" t="s">
        <v>1075</v>
      </c>
      <c r="C994" s="61"/>
      <c r="D994" s="61"/>
    </row>
    <row r="995" spans="1:4" ht="24.6" customHeight="1" thickBot="1" x14ac:dyDescent="0.25">
      <c r="A995" s="62" t="s">
        <v>1683</v>
      </c>
      <c r="B995" s="63" t="s">
        <v>1268</v>
      </c>
      <c r="C995" s="61"/>
      <c r="D995" s="61"/>
    </row>
    <row r="996" spans="1:4" ht="24.6" customHeight="1" thickBot="1" x14ac:dyDescent="0.25">
      <c r="A996" s="62" t="s">
        <v>1684</v>
      </c>
      <c r="B996" s="63" t="s">
        <v>1371</v>
      </c>
      <c r="C996" s="61"/>
      <c r="D996" s="61"/>
    </row>
    <row r="997" spans="1:4" ht="24.6" customHeight="1" thickBot="1" x14ac:dyDescent="0.25">
      <c r="A997" s="62" t="s">
        <v>1685</v>
      </c>
      <c r="B997" s="63" t="s">
        <v>1083</v>
      </c>
      <c r="C997" s="61"/>
      <c r="D997" s="61"/>
    </row>
    <row r="998" spans="1:4" ht="24.6" customHeight="1" thickBot="1" x14ac:dyDescent="0.25">
      <c r="A998" s="62" t="s">
        <v>1686</v>
      </c>
      <c r="B998" s="63" t="s">
        <v>1081</v>
      </c>
      <c r="C998" s="61"/>
      <c r="D998" s="61"/>
    </row>
    <row r="999" spans="1:4" ht="24.6" customHeight="1" thickBot="1" x14ac:dyDescent="0.25">
      <c r="A999" s="62" t="s">
        <v>1687</v>
      </c>
      <c r="B999" s="63" t="s">
        <v>1688</v>
      </c>
      <c r="C999" s="61"/>
      <c r="D999" s="61"/>
    </row>
    <row r="1000" spans="1:4" ht="24.6" customHeight="1" thickBot="1" x14ac:dyDescent="0.25">
      <c r="A1000" s="62" t="s">
        <v>1689</v>
      </c>
      <c r="B1000" s="63" t="s">
        <v>1086</v>
      </c>
      <c r="C1000" s="61"/>
      <c r="D1000" s="61"/>
    </row>
    <row r="1001" spans="1:4" ht="24.6" customHeight="1" thickBot="1" x14ac:dyDescent="0.25">
      <c r="A1001" s="62" t="s">
        <v>1690</v>
      </c>
      <c r="B1001" s="63" t="s">
        <v>1691</v>
      </c>
      <c r="C1001" s="61"/>
      <c r="D1001" s="61"/>
    </row>
    <row r="1002" spans="1:4" ht="24.6" customHeight="1" thickBot="1" x14ac:dyDescent="0.25">
      <c r="A1002" s="911" t="s">
        <v>1091</v>
      </c>
      <c r="B1002" s="912"/>
      <c r="C1002" s="61"/>
      <c r="D1002" s="61"/>
    </row>
    <row r="1003" spans="1:4" ht="24.6" customHeight="1" thickBot="1" x14ac:dyDescent="0.25">
      <c r="A1003" s="62" t="s">
        <v>1692</v>
      </c>
      <c r="B1003" s="63" t="s">
        <v>1094</v>
      </c>
      <c r="C1003" s="61"/>
      <c r="D1003" s="61"/>
    </row>
    <row r="1004" spans="1:4" ht="24.6" customHeight="1" thickBot="1" x14ac:dyDescent="0.25">
      <c r="A1004" s="62" t="s">
        <v>1693</v>
      </c>
      <c r="B1004" s="63" t="s">
        <v>1096</v>
      </c>
      <c r="C1004" s="61"/>
      <c r="D1004" s="61"/>
    </row>
    <row r="1005" spans="1:4" ht="24.6" customHeight="1" thickBot="1" x14ac:dyDescent="0.25">
      <c r="A1005" s="62" t="s">
        <v>1694</v>
      </c>
      <c r="B1005" s="63" t="s">
        <v>189</v>
      </c>
      <c r="C1005" s="61"/>
      <c r="D1005" s="61"/>
    </row>
    <row r="1006" spans="1:4" ht="24.6" customHeight="1" thickBot="1" x14ac:dyDescent="0.25">
      <c r="A1006" s="62" t="s">
        <v>1695</v>
      </c>
      <c r="B1006" s="63" t="s">
        <v>191</v>
      </c>
      <c r="C1006" s="61"/>
      <c r="D1006" s="61"/>
    </row>
    <row r="1007" spans="1:4" ht="24.6" customHeight="1" thickBot="1" x14ac:dyDescent="0.25">
      <c r="A1007" s="62" t="s">
        <v>1696</v>
      </c>
      <c r="B1007" s="63" t="s">
        <v>193</v>
      </c>
      <c r="C1007" s="61"/>
      <c r="D1007" s="61"/>
    </row>
    <row r="1008" spans="1:4" ht="24.6" customHeight="1" thickBot="1" x14ac:dyDescent="0.25">
      <c r="A1008" s="62" t="s">
        <v>1697</v>
      </c>
      <c r="B1008" s="63" t="s">
        <v>195</v>
      </c>
      <c r="C1008" s="61"/>
      <c r="D1008" s="61"/>
    </row>
    <row r="1009" spans="1:4" ht="24.6" customHeight="1" thickBot="1" x14ac:dyDescent="0.25">
      <c r="A1009" s="62" t="s">
        <v>1698</v>
      </c>
      <c r="B1009" s="63" t="s">
        <v>156</v>
      </c>
      <c r="C1009" s="61"/>
      <c r="D1009" s="61"/>
    </row>
    <row r="1010" spans="1:4" ht="24.6" customHeight="1" thickBot="1" x14ac:dyDescent="0.25">
      <c r="A1010" s="911" t="s">
        <v>197</v>
      </c>
      <c r="B1010" s="912"/>
      <c r="C1010" s="61"/>
      <c r="D1010" s="61"/>
    </row>
    <row r="1011" spans="1:4" ht="24.6" customHeight="1" thickBot="1" x14ac:dyDescent="0.25">
      <c r="A1011" s="62" t="s">
        <v>1699</v>
      </c>
      <c r="B1011" s="63" t="s">
        <v>1253</v>
      </c>
      <c r="C1011" s="61"/>
      <c r="D1011" s="61"/>
    </row>
    <row r="1012" spans="1:4" ht="24.6" customHeight="1" thickBot="1" x14ac:dyDescent="0.25">
      <c r="A1012" s="62" t="s">
        <v>1700</v>
      </c>
      <c r="B1012" s="63" t="s">
        <v>1257</v>
      </c>
      <c r="C1012" s="61"/>
      <c r="D1012" s="61"/>
    </row>
    <row r="1013" spans="1:4" ht="24.6" customHeight="1" thickBot="1" x14ac:dyDescent="0.25">
      <c r="A1013" s="911" t="s">
        <v>1170</v>
      </c>
      <c r="B1013" s="912"/>
      <c r="C1013" s="61"/>
      <c r="D1013" s="61"/>
    </row>
    <row r="1014" spans="1:4" ht="24.6" customHeight="1" thickBot="1" x14ac:dyDescent="0.25">
      <c r="A1014" s="62" t="s">
        <v>1701</v>
      </c>
      <c r="B1014" s="63" t="s">
        <v>1702</v>
      </c>
      <c r="C1014" s="61"/>
      <c r="D1014" s="61"/>
    </row>
    <row r="1015" spans="1:4" ht="24.6" customHeight="1" thickBot="1" x14ac:dyDescent="0.25">
      <c r="A1015" s="62" t="s">
        <v>1703</v>
      </c>
      <c r="B1015" s="63" t="s">
        <v>1704</v>
      </c>
      <c r="C1015" s="61"/>
      <c r="D1015" s="61"/>
    </row>
    <row r="1016" spans="1:4" ht="24.6" customHeight="1" thickBot="1" x14ac:dyDescent="0.25">
      <c r="A1016" s="62" t="s">
        <v>1705</v>
      </c>
      <c r="B1016" s="63" t="s">
        <v>1511</v>
      </c>
      <c r="C1016" s="61"/>
      <c r="D1016" s="61"/>
    </row>
    <row r="1017" spans="1:4" ht="24.6" customHeight="1" thickBot="1" x14ac:dyDescent="0.25">
      <c r="A1017" s="62" t="s">
        <v>1706</v>
      </c>
      <c r="B1017" s="63" t="s">
        <v>1707</v>
      </c>
      <c r="C1017" s="61"/>
      <c r="D1017" s="61"/>
    </row>
    <row r="1018" spans="1:4" ht="24.6" customHeight="1" thickBot="1" x14ac:dyDescent="0.25">
      <c r="A1018" s="62" t="s">
        <v>1708</v>
      </c>
      <c r="B1018" s="63" t="s">
        <v>1709</v>
      </c>
      <c r="C1018" s="61"/>
      <c r="D1018" s="61"/>
    </row>
    <row r="1019" spans="1:4" ht="24.6" customHeight="1" thickBot="1" x14ac:dyDescent="0.25">
      <c r="A1019" s="62" t="s">
        <v>1710</v>
      </c>
      <c r="B1019" s="63" t="s">
        <v>1711</v>
      </c>
      <c r="C1019" s="61"/>
      <c r="D1019" s="61"/>
    </row>
    <row r="1020" spans="1:4" ht="24.6" customHeight="1" thickBot="1" x14ac:dyDescent="0.25">
      <c r="A1020" s="62" t="s">
        <v>1712</v>
      </c>
      <c r="B1020" s="63" t="s">
        <v>1713</v>
      </c>
      <c r="C1020" s="61"/>
      <c r="D1020" s="61"/>
    </row>
    <row r="1021" spans="1:4" ht="24.6" customHeight="1" thickBot="1" x14ac:dyDescent="0.25">
      <c r="A1021" s="62" t="s">
        <v>1714</v>
      </c>
      <c r="B1021" s="63" t="s">
        <v>1715</v>
      </c>
      <c r="C1021" s="61"/>
      <c r="D1021" s="61"/>
    </row>
    <row r="1022" spans="1:4" ht="24.6" customHeight="1" thickBot="1" x14ac:dyDescent="0.25">
      <c r="A1022" s="62" t="s">
        <v>1716</v>
      </c>
      <c r="B1022" s="63" t="s">
        <v>1717</v>
      </c>
      <c r="C1022" s="61"/>
      <c r="D1022" s="61"/>
    </row>
    <row r="1023" spans="1:4" ht="24.6" customHeight="1" thickBot="1" x14ac:dyDescent="0.25">
      <c r="A1023" s="62" t="s">
        <v>1718</v>
      </c>
      <c r="B1023" s="63" t="s">
        <v>1719</v>
      </c>
      <c r="C1023" s="61"/>
      <c r="D1023" s="61"/>
    </row>
    <row r="1024" spans="1:4" ht="24.6" customHeight="1" thickBot="1" x14ac:dyDescent="0.25">
      <c r="A1024" s="62" t="s">
        <v>1720</v>
      </c>
      <c r="B1024" s="63" t="s">
        <v>1721</v>
      </c>
      <c r="C1024" s="61"/>
      <c r="D1024" s="61"/>
    </row>
    <row r="1025" spans="1:4" ht="24.6" customHeight="1" thickBot="1" x14ac:dyDescent="0.25">
      <c r="A1025" s="62" t="s">
        <v>1722</v>
      </c>
      <c r="B1025" s="63" t="s">
        <v>1723</v>
      </c>
      <c r="C1025" s="61"/>
      <c r="D1025" s="61"/>
    </row>
    <row r="1026" spans="1:4" ht="24.6" customHeight="1" thickBot="1" x14ac:dyDescent="0.25">
      <c r="A1026" s="62" t="s">
        <v>1724</v>
      </c>
      <c r="B1026" s="63" t="s">
        <v>1725</v>
      </c>
      <c r="C1026" s="61"/>
      <c r="D1026" s="61"/>
    </row>
    <row r="1027" spans="1:4" ht="24.6" customHeight="1" thickBot="1" x14ac:dyDescent="0.25">
      <c r="A1027" s="62" t="s">
        <v>1726</v>
      </c>
      <c r="B1027" s="63" t="s">
        <v>1727</v>
      </c>
      <c r="C1027" s="61"/>
      <c r="D1027" s="61"/>
    </row>
    <row r="1028" spans="1:4" ht="24.6" customHeight="1" thickBot="1" x14ac:dyDescent="0.25">
      <c r="A1028" s="62" t="s">
        <v>1728</v>
      </c>
      <c r="B1028" s="63" t="s">
        <v>1729</v>
      </c>
      <c r="C1028" s="61"/>
      <c r="D1028" s="61"/>
    </row>
    <row r="1029" spans="1:4" ht="24.6" customHeight="1" thickBot="1" x14ac:dyDescent="0.25">
      <c r="A1029" s="62" t="s">
        <v>1730</v>
      </c>
      <c r="B1029" s="63" t="s">
        <v>1731</v>
      </c>
      <c r="C1029" s="61"/>
      <c r="D1029" s="61"/>
    </row>
    <row r="1030" spans="1:4" ht="24.6" customHeight="1" thickBot="1" x14ac:dyDescent="0.25">
      <c r="A1030" s="62" t="s">
        <v>1732</v>
      </c>
      <c r="B1030" s="63" t="s">
        <v>1733</v>
      </c>
      <c r="C1030" s="61"/>
      <c r="D1030" s="61"/>
    </row>
    <row r="1031" spans="1:4" ht="24.6" customHeight="1" thickBot="1" x14ac:dyDescent="0.25">
      <c r="A1031" s="62" t="s">
        <v>1734</v>
      </c>
      <c r="B1031" s="63" t="s">
        <v>1735</v>
      </c>
      <c r="C1031" s="61"/>
      <c r="D1031" s="61"/>
    </row>
    <row r="1032" spans="1:4" ht="24.6" customHeight="1" thickBot="1" x14ac:dyDescent="0.25">
      <c r="A1032" s="62" t="s">
        <v>1736</v>
      </c>
      <c r="B1032" s="63" t="s">
        <v>1737</v>
      </c>
      <c r="C1032" s="61"/>
      <c r="D1032" s="61"/>
    </row>
    <row r="1033" spans="1:4" ht="24.6" customHeight="1" thickBot="1" x14ac:dyDescent="0.25">
      <c r="A1033" s="911" t="s">
        <v>1738</v>
      </c>
      <c r="B1033" s="912"/>
      <c r="C1033" s="61"/>
      <c r="D1033" s="61"/>
    </row>
    <row r="1034" spans="1:4" ht="24.6" customHeight="1" thickBot="1" x14ac:dyDescent="0.25">
      <c r="A1034" s="62" t="s">
        <v>1739</v>
      </c>
      <c r="B1034" s="63" t="s">
        <v>1740</v>
      </c>
      <c r="C1034" s="61"/>
      <c r="D1034" s="61"/>
    </row>
    <row r="1035" spans="1:4" ht="24.6" customHeight="1" thickBot="1" x14ac:dyDescent="0.25">
      <c r="A1035" s="62" t="s">
        <v>1741</v>
      </c>
      <c r="B1035" s="63" t="s">
        <v>1742</v>
      </c>
      <c r="C1035" s="61"/>
      <c r="D1035" s="61"/>
    </row>
    <row r="1036" spans="1:4" ht="24.6" customHeight="1" thickBot="1" x14ac:dyDescent="0.25">
      <c r="A1036" s="62" t="s">
        <v>1743</v>
      </c>
      <c r="B1036" s="63" t="s">
        <v>1744</v>
      </c>
      <c r="C1036" s="61"/>
      <c r="D1036" s="61"/>
    </row>
    <row r="1037" spans="1:4" ht="24.6" customHeight="1" thickBot="1" x14ac:dyDescent="0.25">
      <c r="A1037" s="62" t="s">
        <v>1745</v>
      </c>
      <c r="B1037" s="63" t="s">
        <v>1746</v>
      </c>
      <c r="C1037" s="61"/>
      <c r="D1037" s="61"/>
    </row>
    <row r="1038" spans="1:4" ht="24.6" customHeight="1" thickBot="1" x14ac:dyDescent="0.25">
      <c r="A1038" s="62" t="s">
        <v>1747</v>
      </c>
      <c r="B1038" s="63" t="s">
        <v>1748</v>
      </c>
      <c r="C1038" s="61"/>
      <c r="D1038" s="61"/>
    </row>
    <row r="1039" spans="1:4" ht="24.6" customHeight="1" thickBot="1" x14ac:dyDescent="0.25">
      <c r="A1039" s="62" t="s">
        <v>1749</v>
      </c>
      <c r="B1039" s="63" t="s">
        <v>1750</v>
      </c>
      <c r="C1039" s="61"/>
      <c r="D1039" s="61"/>
    </row>
    <row r="1040" spans="1:4" ht="24.6" customHeight="1" thickBot="1" x14ac:dyDescent="0.25">
      <c r="A1040" s="62" t="s">
        <v>1751</v>
      </c>
      <c r="B1040" s="63" t="s">
        <v>1752</v>
      </c>
      <c r="C1040" s="61"/>
      <c r="D1040" s="61"/>
    </row>
    <row r="1041" spans="1:4" ht="24.6" customHeight="1" thickBot="1" x14ac:dyDescent="0.25">
      <c r="A1041" s="62" t="s">
        <v>1753</v>
      </c>
      <c r="B1041" s="63" t="s">
        <v>1754</v>
      </c>
      <c r="C1041" s="61"/>
      <c r="D1041" s="61"/>
    </row>
    <row r="1042" spans="1:4" ht="24.6" customHeight="1" thickBot="1" x14ac:dyDescent="0.25">
      <c r="A1042" s="62" t="s">
        <v>1755</v>
      </c>
      <c r="B1042" s="63" t="s">
        <v>1756</v>
      </c>
      <c r="C1042" s="61"/>
      <c r="D1042" s="61"/>
    </row>
    <row r="1043" spans="1:4" ht="24.6" customHeight="1" thickBot="1" x14ac:dyDescent="0.25">
      <c r="A1043" s="62" t="s">
        <v>1757</v>
      </c>
      <c r="B1043" s="63" t="s">
        <v>1758</v>
      </c>
      <c r="C1043" s="61"/>
      <c r="D1043" s="61"/>
    </row>
    <row r="1044" spans="1:4" ht="24.6" customHeight="1" thickBot="1" x14ac:dyDescent="0.25">
      <c r="A1044" s="62" t="s">
        <v>1759</v>
      </c>
      <c r="B1044" s="63" t="s">
        <v>1760</v>
      </c>
      <c r="C1044" s="61"/>
      <c r="D1044" s="61"/>
    </row>
    <row r="1045" spans="1:4" ht="24.6" customHeight="1" thickBot="1" x14ac:dyDescent="0.25">
      <c r="A1045" s="62" t="s">
        <v>1761</v>
      </c>
      <c r="B1045" s="63" t="s">
        <v>1762</v>
      </c>
      <c r="C1045" s="61"/>
      <c r="D1045" s="61"/>
    </row>
    <row r="1046" spans="1:4" ht="24.6" customHeight="1" thickBot="1" x14ac:dyDescent="0.25">
      <c r="A1046" s="62" t="s">
        <v>1763</v>
      </c>
      <c r="B1046" s="63" t="s">
        <v>1764</v>
      </c>
      <c r="C1046" s="61"/>
      <c r="D1046" s="61"/>
    </row>
    <row r="1047" spans="1:4" ht="24.6" customHeight="1" thickBot="1" x14ac:dyDescent="0.25">
      <c r="A1047" s="62" t="s">
        <v>1765</v>
      </c>
      <c r="B1047" s="63" t="s">
        <v>1766</v>
      </c>
      <c r="C1047" s="61"/>
      <c r="D1047" s="61"/>
    </row>
    <row r="1048" spans="1:4" ht="24.6" customHeight="1" thickBot="1" x14ac:dyDescent="0.25">
      <c r="A1048" s="62" t="s">
        <v>1767</v>
      </c>
      <c r="B1048" s="63" t="s">
        <v>1768</v>
      </c>
      <c r="C1048" s="61"/>
      <c r="D1048" s="61"/>
    </row>
    <row r="1049" spans="1:4" ht="24.6" customHeight="1" thickBot="1" x14ac:dyDescent="0.25">
      <c r="A1049" s="911" t="s">
        <v>1769</v>
      </c>
      <c r="B1049" s="912"/>
      <c r="C1049" s="61"/>
      <c r="D1049" s="61"/>
    </row>
    <row r="1050" spans="1:4" ht="24.6" customHeight="1" thickBot="1" x14ac:dyDescent="0.25">
      <c r="A1050" s="62" t="s">
        <v>1770</v>
      </c>
      <c r="B1050" s="63" t="s">
        <v>1771</v>
      </c>
      <c r="C1050" s="61"/>
      <c r="D1050" s="61"/>
    </row>
    <row r="1051" spans="1:4" ht="24.6" customHeight="1" thickBot="1" x14ac:dyDescent="0.25">
      <c r="A1051" s="62" t="s">
        <v>1772</v>
      </c>
      <c r="B1051" s="63" t="s">
        <v>1773</v>
      </c>
      <c r="C1051" s="61"/>
      <c r="D1051" s="61"/>
    </row>
    <row r="1052" spans="1:4" ht="24.6" customHeight="1" thickBot="1" x14ac:dyDescent="0.25">
      <c r="A1052" s="62" t="s">
        <v>1774</v>
      </c>
      <c r="B1052" s="63" t="s">
        <v>1775</v>
      </c>
      <c r="C1052" s="61"/>
      <c r="D1052" s="61"/>
    </row>
    <row r="1053" spans="1:4" ht="24.6" customHeight="1" thickBot="1" x14ac:dyDescent="0.25">
      <c r="A1053" s="62" t="s">
        <v>1776</v>
      </c>
      <c r="B1053" s="63" t="s">
        <v>1777</v>
      </c>
      <c r="C1053" s="61"/>
      <c r="D1053" s="61"/>
    </row>
    <row r="1054" spans="1:4" ht="24.6" customHeight="1" thickBot="1" x14ac:dyDescent="0.25">
      <c r="A1054" s="62" t="s">
        <v>1778</v>
      </c>
      <c r="B1054" s="63" t="s">
        <v>1779</v>
      </c>
      <c r="C1054" s="61"/>
      <c r="D1054" s="61"/>
    </row>
    <row r="1055" spans="1:4" ht="24.6" customHeight="1" thickBot="1" x14ac:dyDescent="0.25">
      <c r="A1055" s="62" t="s">
        <v>1780</v>
      </c>
      <c r="B1055" s="63" t="s">
        <v>1781</v>
      </c>
      <c r="C1055" s="61"/>
      <c r="D1055" s="61"/>
    </row>
    <row r="1056" spans="1:4" ht="24.6" customHeight="1" thickBot="1" x14ac:dyDescent="0.25">
      <c r="A1056" s="911" t="s">
        <v>1782</v>
      </c>
      <c r="B1056" s="912"/>
      <c r="C1056" s="61"/>
      <c r="D1056" s="61"/>
    </row>
    <row r="1057" spans="1:4" ht="24.6" customHeight="1" thickBot="1" x14ac:dyDescent="0.25">
      <c r="A1057" s="62" t="s">
        <v>1783</v>
      </c>
      <c r="B1057" s="63" t="s">
        <v>1784</v>
      </c>
      <c r="C1057" s="61"/>
      <c r="D1057" s="61"/>
    </row>
    <row r="1058" spans="1:4" ht="24.6" customHeight="1" thickBot="1" x14ac:dyDescent="0.25">
      <c r="A1058" s="62" t="s">
        <v>1785</v>
      </c>
      <c r="B1058" s="63" t="s">
        <v>1786</v>
      </c>
      <c r="C1058" s="61"/>
      <c r="D1058" s="61"/>
    </row>
    <row r="1059" spans="1:4" ht="24.6" customHeight="1" thickBot="1" x14ac:dyDescent="0.25">
      <c r="A1059" s="62" t="s">
        <v>1787</v>
      </c>
      <c r="B1059" s="63" t="s">
        <v>1788</v>
      </c>
      <c r="C1059" s="61"/>
      <c r="D1059" s="61"/>
    </row>
    <row r="1060" spans="1:4" ht="24.6" customHeight="1" thickBot="1" x14ac:dyDescent="0.25">
      <c r="A1060" s="62" t="s">
        <v>1789</v>
      </c>
      <c r="B1060" s="63" t="s">
        <v>1790</v>
      </c>
      <c r="C1060" s="61"/>
      <c r="D1060" s="61"/>
    </row>
    <row r="1061" spans="1:4" ht="24.6" customHeight="1" thickBot="1" x14ac:dyDescent="0.25">
      <c r="A1061" s="62" t="s">
        <v>1791</v>
      </c>
      <c r="B1061" s="63" t="s">
        <v>1792</v>
      </c>
      <c r="C1061" s="61"/>
      <c r="D1061" s="61"/>
    </row>
    <row r="1062" spans="1:4" ht="24.6" customHeight="1" thickBot="1" x14ac:dyDescent="0.25">
      <c r="A1062" s="62" t="s">
        <v>1793</v>
      </c>
      <c r="B1062" s="63" t="s">
        <v>1794</v>
      </c>
      <c r="C1062" s="61"/>
      <c r="D1062" s="61"/>
    </row>
    <row r="1063" spans="1:4" ht="24.6" customHeight="1" thickBot="1" x14ac:dyDescent="0.25">
      <c r="A1063" s="62" t="s">
        <v>1795</v>
      </c>
      <c r="B1063" s="63" t="s">
        <v>1796</v>
      </c>
      <c r="C1063" s="61"/>
      <c r="D1063" s="61"/>
    </row>
    <row r="1064" spans="1:4" ht="24.6" customHeight="1" thickBot="1" x14ac:dyDescent="0.25">
      <c r="A1064" s="62" t="s">
        <v>1797</v>
      </c>
      <c r="B1064" s="63" t="s">
        <v>1798</v>
      </c>
      <c r="C1064" s="61"/>
      <c r="D1064" s="61"/>
    </row>
    <row r="1065" spans="1:4" ht="24.6" customHeight="1" thickBot="1" x14ac:dyDescent="0.25">
      <c r="A1065" s="62" t="s">
        <v>1799</v>
      </c>
      <c r="B1065" s="63" t="s">
        <v>1800</v>
      </c>
      <c r="C1065" s="61"/>
      <c r="D1065" s="61"/>
    </row>
    <row r="1066" spans="1:4" ht="24.6" customHeight="1" thickBot="1" x14ac:dyDescent="0.25">
      <c r="A1066" s="62" t="s">
        <v>1801</v>
      </c>
      <c r="B1066" s="63" t="s">
        <v>1802</v>
      </c>
      <c r="C1066" s="61"/>
      <c r="D1066" s="61"/>
    </row>
    <row r="1067" spans="1:4" ht="24.6" customHeight="1" thickBot="1" x14ac:dyDescent="0.25">
      <c r="A1067" s="62" t="s">
        <v>1803</v>
      </c>
      <c r="B1067" s="63" t="s">
        <v>1804</v>
      </c>
      <c r="C1067" s="61"/>
      <c r="D1067" s="61"/>
    </row>
    <row r="1068" spans="1:4" ht="24.6" customHeight="1" thickBot="1" x14ac:dyDescent="0.25">
      <c r="A1068" s="62" t="s">
        <v>1805</v>
      </c>
      <c r="B1068" s="63" t="s">
        <v>1806</v>
      </c>
      <c r="C1068" s="61"/>
      <c r="D1068" s="61"/>
    </row>
    <row r="1069" spans="1:4" ht="24.6" customHeight="1" thickBot="1" x14ac:dyDescent="0.25">
      <c r="A1069" s="62" t="s">
        <v>1807</v>
      </c>
      <c r="B1069" s="63" t="s">
        <v>1808</v>
      </c>
      <c r="C1069" s="61"/>
      <c r="D1069" s="61"/>
    </row>
    <row r="1070" spans="1:4" ht="24.6" customHeight="1" thickBot="1" x14ac:dyDescent="0.25">
      <c r="A1070" s="62" t="s">
        <v>1809</v>
      </c>
      <c r="B1070" s="63" t="s">
        <v>1810</v>
      </c>
      <c r="C1070" s="61"/>
      <c r="D1070" s="61"/>
    </row>
    <row r="1071" spans="1:4" ht="24.6" customHeight="1" thickBot="1" x14ac:dyDescent="0.25">
      <c r="A1071" s="62" t="s">
        <v>1811</v>
      </c>
      <c r="B1071" s="63" t="s">
        <v>1812</v>
      </c>
      <c r="C1071" s="61"/>
      <c r="D1071" s="61"/>
    </row>
    <row r="1072" spans="1:4" ht="24.6" customHeight="1" thickBot="1" x14ac:dyDescent="0.25">
      <c r="A1072" s="62" t="s">
        <v>1813</v>
      </c>
      <c r="B1072" s="63" t="s">
        <v>1814</v>
      </c>
      <c r="C1072" s="61"/>
      <c r="D1072" s="61"/>
    </row>
    <row r="1073" spans="1:4" ht="24.6" customHeight="1" thickBot="1" x14ac:dyDescent="0.25">
      <c r="A1073" s="62" t="s">
        <v>1815</v>
      </c>
      <c r="B1073" s="63" t="s">
        <v>1816</v>
      </c>
      <c r="C1073" s="61"/>
      <c r="D1073" s="61"/>
    </row>
    <row r="1074" spans="1:4" ht="24.6" customHeight="1" thickBot="1" x14ac:dyDescent="0.25">
      <c r="A1074" s="62" t="s">
        <v>1817</v>
      </c>
      <c r="B1074" s="63" t="s">
        <v>1818</v>
      </c>
      <c r="C1074" s="61"/>
      <c r="D1074" s="61"/>
    </row>
    <row r="1075" spans="1:4" ht="24.6" customHeight="1" thickBot="1" x14ac:dyDescent="0.25">
      <c r="A1075" s="62" t="s">
        <v>1819</v>
      </c>
      <c r="B1075" s="63" t="s">
        <v>1820</v>
      </c>
      <c r="C1075" s="61"/>
      <c r="D1075" s="61"/>
    </row>
    <row r="1076" spans="1:4" ht="24.6" customHeight="1" thickBot="1" x14ac:dyDescent="0.25">
      <c r="A1076" s="62" t="s">
        <v>1821</v>
      </c>
      <c r="B1076" s="63" t="s">
        <v>1822</v>
      </c>
      <c r="C1076" s="61"/>
      <c r="D1076" s="61"/>
    </row>
    <row r="1077" spans="1:4" ht="24.6" customHeight="1" thickBot="1" x14ac:dyDescent="0.25">
      <c r="A1077" s="62" t="s">
        <v>1823</v>
      </c>
      <c r="B1077" s="63" t="s">
        <v>1824</v>
      </c>
      <c r="C1077" s="61"/>
      <c r="D1077" s="61"/>
    </row>
    <row r="1078" spans="1:4" ht="24.6" customHeight="1" thickBot="1" x14ac:dyDescent="0.25">
      <c r="A1078" s="62" t="s">
        <v>1825</v>
      </c>
      <c r="B1078" s="63" t="s">
        <v>1826</v>
      </c>
      <c r="C1078" s="61"/>
      <c r="D1078" s="61"/>
    </row>
    <row r="1079" spans="1:4" ht="24.6" customHeight="1" thickBot="1" x14ac:dyDescent="0.25">
      <c r="A1079" s="62" t="s">
        <v>1827</v>
      </c>
      <c r="B1079" s="63" t="s">
        <v>1828</v>
      </c>
      <c r="C1079" s="61"/>
      <c r="D1079" s="61"/>
    </row>
    <row r="1080" spans="1:4" ht="24.6" customHeight="1" thickBot="1" x14ac:dyDescent="0.25">
      <c r="A1080" s="62" t="s">
        <v>1829</v>
      </c>
      <c r="B1080" s="63" t="s">
        <v>1830</v>
      </c>
      <c r="C1080" s="61"/>
      <c r="D1080" s="61"/>
    </row>
    <row r="1081" spans="1:4" ht="24.6" customHeight="1" thickBot="1" x14ac:dyDescent="0.25">
      <c r="A1081" s="62" t="s">
        <v>1831</v>
      </c>
      <c r="B1081" s="63" t="s">
        <v>1832</v>
      </c>
      <c r="C1081" s="61"/>
      <c r="D1081" s="61"/>
    </row>
    <row r="1082" spans="1:4" ht="24.6" customHeight="1" thickBot="1" x14ac:dyDescent="0.25">
      <c r="A1082" s="62" t="s">
        <v>1833</v>
      </c>
      <c r="B1082" s="63" t="s">
        <v>1834</v>
      </c>
      <c r="C1082" s="61"/>
      <c r="D1082" s="61"/>
    </row>
    <row r="1083" spans="1:4" ht="24.6" customHeight="1" thickBot="1" x14ac:dyDescent="0.25">
      <c r="A1083" s="62" t="s">
        <v>1835</v>
      </c>
      <c r="B1083" s="63" t="s">
        <v>1836</v>
      </c>
      <c r="C1083" s="61"/>
      <c r="D1083" s="61"/>
    </row>
    <row r="1084" spans="1:4" ht="24.6" customHeight="1" thickBot="1" x14ac:dyDescent="0.25">
      <c r="A1084" s="911" t="s">
        <v>1837</v>
      </c>
      <c r="B1084" s="912"/>
      <c r="C1084" s="61"/>
      <c r="D1084" s="61"/>
    </row>
    <row r="1085" spans="1:4" ht="24.6" customHeight="1" thickBot="1" x14ac:dyDescent="0.25">
      <c r="A1085" s="62" t="s">
        <v>1838</v>
      </c>
      <c r="B1085" s="63" t="s">
        <v>1839</v>
      </c>
      <c r="C1085" s="61"/>
      <c r="D1085" s="61"/>
    </row>
    <row r="1086" spans="1:4" ht="24.6" customHeight="1" thickBot="1" x14ac:dyDescent="0.25">
      <c r="A1086" s="62" t="s">
        <v>1840</v>
      </c>
      <c r="B1086" s="63" t="s">
        <v>1841</v>
      </c>
      <c r="C1086" s="61"/>
      <c r="D1086" s="61"/>
    </row>
    <row r="1087" spans="1:4" ht="24.6" customHeight="1" thickBot="1" x14ac:dyDescent="0.25">
      <c r="A1087" s="62" t="s">
        <v>1842</v>
      </c>
      <c r="B1087" s="63" t="s">
        <v>1843</v>
      </c>
      <c r="C1087" s="61"/>
      <c r="D1087" s="61"/>
    </row>
    <row r="1088" spans="1:4" ht="24.6" customHeight="1" thickBot="1" x14ac:dyDescent="0.25">
      <c r="A1088" s="62" t="s">
        <v>1844</v>
      </c>
      <c r="B1088" s="63" t="s">
        <v>1845</v>
      </c>
      <c r="C1088" s="61"/>
      <c r="D1088" s="61"/>
    </row>
    <row r="1089" spans="1:4" ht="24.6" customHeight="1" thickBot="1" x14ac:dyDescent="0.25">
      <c r="A1089" s="62" t="s">
        <v>1846</v>
      </c>
      <c r="B1089" s="63" t="s">
        <v>1847</v>
      </c>
      <c r="C1089" s="61"/>
      <c r="D1089" s="61"/>
    </row>
    <row r="1090" spans="1:4" ht="24.6" customHeight="1" thickBot="1" x14ac:dyDescent="0.25">
      <c r="A1090" s="62" t="s">
        <v>1848</v>
      </c>
      <c r="B1090" s="63" t="s">
        <v>1849</v>
      </c>
      <c r="C1090" s="61"/>
      <c r="D1090" s="61"/>
    </row>
    <row r="1091" spans="1:4" ht="24.6" customHeight="1" thickBot="1" x14ac:dyDescent="0.25">
      <c r="A1091" s="911" t="s">
        <v>1850</v>
      </c>
      <c r="B1091" s="912"/>
      <c r="C1091" s="61"/>
      <c r="D1091" s="61"/>
    </row>
    <row r="1092" spans="1:4" ht="24.6" customHeight="1" thickBot="1" x14ac:dyDescent="0.25">
      <c r="A1092" s="62" t="s">
        <v>1851</v>
      </c>
      <c r="B1092" s="63" t="s">
        <v>1852</v>
      </c>
      <c r="C1092" s="61"/>
      <c r="D1092" s="61"/>
    </row>
    <row r="1093" spans="1:4" ht="24.6" customHeight="1" thickBot="1" x14ac:dyDescent="0.25">
      <c r="A1093" s="62" t="s">
        <v>1853</v>
      </c>
      <c r="B1093" s="63" t="s">
        <v>1854</v>
      </c>
      <c r="C1093" s="61"/>
      <c r="D1093" s="61"/>
    </row>
    <row r="1094" spans="1:4" ht="24.6" customHeight="1" thickBot="1" x14ac:dyDescent="0.25">
      <c r="A1094" s="62" t="s">
        <v>1855</v>
      </c>
      <c r="B1094" s="63" t="s">
        <v>1856</v>
      </c>
      <c r="C1094" s="61"/>
      <c r="D1094" s="61"/>
    </row>
    <row r="1095" spans="1:4" ht="24.6" customHeight="1" thickBot="1" x14ac:dyDescent="0.25">
      <c r="A1095" s="62" t="s">
        <v>1857</v>
      </c>
      <c r="B1095" s="63" t="s">
        <v>1858</v>
      </c>
      <c r="C1095" s="61"/>
      <c r="D1095" s="61"/>
    </row>
    <row r="1096" spans="1:4" ht="24.6" customHeight="1" thickBot="1" x14ac:dyDescent="0.25">
      <c r="A1096" s="62" t="s">
        <v>1859</v>
      </c>
      <c r="B1096" s="63" t="s">
        <v>1860</v>
      </c>
      <c r="C1096" s="61"/>
      <c r="D1096" s="61"/>
    </row>
    <row r="1097" spans="1:4" ht="24.6" customHeight="1" thickBot="1" x14ac:dyDescent="0.25">
      <c r="A1097" s="62" t="s">
        <v>1861</v>
      </c>
      <c r="B1097" s="63" t="s">
        <v>1862</v>
      </c>
      <c r="C1097" s="61"/>
      <c r="D1097" s="61"/>
    </row>
    <row r="1098" spans="1:4" ht="24.6" customHeight="1" thickBot="1" x14ac:dyDescent="0.25">
      <c r="A1098" s="911" t="s">
        <v>1863</v>
      </c>
      <c r="B1098" s="912"/>
      <c r="C1098" s="61"/>
      <c r="D1098" s="61"/>
    </row>
    <row r="1099" spans="1:4" ht="24.6" customHeight="1" thickBot="1" x14ac:dyDescent="0.25">
      <c r="A1099" s="62" t="s">
        <v>1864</v>
      </c>
      <c r="B1099" s="63" t="s">
        <v>1865</v>
      </c>
      <c r="C1099" s="61"/>
      <c r="D1099" s="61"/>
    </row>
    <row r="1100" spans="1:4" ht="24.6" customHeight="1" thickBot="1" x14ac:dyDescent="0.25">
      <c r="A1100" s="62" t="s">
        <v>1866</v>
      </c>
      <c r="B1100" s="63" t="s">
        <v>1867</v>
      </c>
      <c r="C1100" s="61"/>
      <c r="D1100" s="61"/>
    </row>
    <row r="1101" spans="1:4" ht="24.6" customHeight="1" thickBot="1" x14ac:dyDescent="0.25">
      <c r="A1101" s="911" t="s">
        <v>1107</v>
      </c>
      <c r="B1101" s="912"/>
      <c r="C1101" s="61"/>
      <c r="D1101" s="61"/>
    </row>
    <row r="1102" spans="1:4" ht="24.6" customHeight="1" thickBot="1" x14ac:dyDescent="0.25">
      <c r="A1102" s="62" t="s">
        <v>1868</v>
      </c>
      <c r="B1102" s="63" t="s">
        <v>1869</v>
      </c>
      <c r="C1102" s="61"/>
      <c r="D1102" s="61"/>
    </row>
    <row r="1103" spans="1:4" ht="24.6" customHeight="1" thickBot="1" x14ac:dyDescent="0.25">
      <c r="A1103" s="62" t="s">
        <v>1870</v>
      </c>
      <c r="B1103" s="63" t="s">
        <v>1871</v>
      </c>
      <c r="C1103" s="61"/>
      <c r="D1103" s="61"/>
    </row>
    <row r="1104" spans="1:4" ht="24.6" customHeight="1" thickBot="1" x14ac:dyDescent="0.25">
      <c r="A1104" s="62" t="s">
        <v>1872</v>
      </c>
      <c r="B1104" s="63" t="s">
        <v>1673</v>
      </c>
      <c r="C1104" s="61"/>
      <c r="D1104" s="61"/>
    </row>
    <row r="1105" spans="1:4" ht="24.6" customHeight="1" thickBot="1" x14ac:dyDescent="0.25">
      <c r="A1105" s="62" t="s">
        <v>1873</v>
      </c>
      <c r="B1105" s="63" t="s">
        <v>1862</v>
      </c>
      <c r="C1105" s="61"/>
      <c r="D1105" s="61"/>
    </row>
    <row r="1106" spans="1:4" ht="24.6" customHeight="1" thickBot="1" x14ac:dyDescent="0.25">
      <c r="A1106" s="911" t="s">
        <v>1874</v>
      </c>
      <c r="B1106" s="912"/>
      <c r="C1106" s="61"/>
      <c r="D1106" s="61"/>
    </row>
    <row r="1107" spans="1:4" ht="24.6" customHeight="1" thickBot="1" x14ac:dyDescent="0.25">
      <c r="A1107" s="62" t="s">
        <v>1875</v>
      </c>
      <c r="B1107" s="63" t="s">
        <v>1071</v>
      </c>
      <c r="C1107" s="61"/>
      <c r="D1107" s="61"/>
    </row>
    <row r="1108" spans="1:4" ht="24.6" customHeight="1" thickBot="1" x14ac:dyDescent="0.25">
      <c r="A1108" s="62" t="s">
        <v>1876</v>
      </c>
      <c r="B1108" s="63" t="s">
        <v>1075</v>
      </c>
      <c r="C1108" s="61"/>
      <c r="D1108" s="61"/>
    </row>
    <row r="1109" spans="1:4" ht="24.6" customHeight="1" thickBot="1" x14ac:dyDescent="0.25">
      <c r="A1109" s="62" t="s">
        <v>1877</v>
      </c>
      <c r="B1109" s="63" t="s">
        <v>1878</v>
      </c>
      <c r="C1109" s="61"/>
      <c r="D1109" s="61"/>
    </row>
    <row r="1110" spans="1:4" ht="24.6" customHeight="1" thickBot="1" x14ac:dyDescent="0.25">
      <c r="A1110" s="62" t="s">
        <v>1879</v>
      </c>
      <c r="B1110" s="63" t="s">
        <v>1880</v>
      </c>
      <c r="C1110" s="61"/>
      <c r="D1110" s="61"/>
    </row>
    <row r="1111" spans="1:4" ht="24.6" customHeight="1" thickBot="1" x14ac:dyDescent="0.25">
      <c r="A1111" s="62" t="s">
        <v>1881</v>
      </c>
      <c r="B1111" s="63" t="s">
        <v>1882</v>
      </c>
      <c r="C1111" s="61"/>
      <c r="D1111" s="61"/>
    </row>
    <row r="1112" spans="1:4" ht="24.6" customHeight="1" thickBot="1" x14ac:dyDescent="0.25">
      <c r="A1112" s="62" t="s">
        <v>1883</v>
      </c>
      <c r="B1112" s="63" t="s">
        <v>1081</v>
      </c>
      <c r="C1112" s="61"/>
      <c r="D1112" s="61"/>
    </row>
    <row r="1113" spans="1:4" ht="24.6" customHeight="1" thickBot="1" x14ac:dyDescent="0.25">
      <c r="A1113" s="62" t="s">
        <v>1884</v>
      </c>
      <c r="B1113" s="63" t="s">
        <v>1885</v>
      </c>
      <c r="C1113" s="61"/>
      <c r="D1113" s="61"/>
    </row>
    <row r="1114" spans="1:4" ht="24.6" customHeight="1" thickBot="1" x14ac:dyDescent="0.25">
      <c r="A1114" s="62" t="s">
        <v>1886</v>
      </c>
      <c r="B1114" s="63" t="s">
        <v>1376</v>
      </c>
      <c r="C1114" s="61"/>
      <c r="D1114" s="61"/>
    </row>
    <row r="1115" spans="1:4" ht="24.6" customHeight="1" thickBot="1" x14ac:dyDescent="0.25">
      <c r="A1115" s="62" t="s">
        <v>1887</v>
      </c>
      <c r="B1115" s="63" t="s">
        <v>1888</v>
      </c>
      <c r="C1115" s="61"/>
      <c r="D1115" s="61"/>
    </row>
    <row r="1116" spans="1:4" ht="24.6" customHeight="1" thickBot="1" x14ac:dyDescent="0.25">
      <c r="A1116" s="62" t="s">
        <v>1889</v>
      </c>
      <c r="B1116" s="63" t="s">
        <v>1890</v>
      </c>
      <c r="C1116" s="61"/>
      <c r="D1116" s="61"/>
    </row>
    <row r="1117" spans="1:4" ht="24.6" customHeight="1" thickBot="1" x14ac:dyDescent="0.25">
      <c r="A1117" s="914" t="s">
        <v>1891</v>
      </c>
      <c r="B1117" s="915"/>
      <c r="C1117" s="61"/>
      <c r="D1117" s="61"/>
    </row>
    <row r="1118" spans="1:4" ht="24.6" customHeight="1" thickBot="1" x14ac:dyDescent="0.25">
      <c r="A1118" s="911" t="s">
        <v>1892</v>
      </c>
      <c r="B1118" s="912"/>
      <c r="C1118" s="61"/>
      <c r="D1118" s="61"/>
    </row>
    <row r="1119" spans="1:4" ht="24.6" customHeight="1" thickBot="1" x14ac:dyDescent="0.25">
      <c r="A1119" s="62" t="s">
        <v>1893</v>
      </c>
      <c r="B1119" s="63" t="s">
        <v>1069</v>
      </c>
      <c r="C1119" s="61"/>
      <c r="D1119" s="61"/>
    </row>
    <row r="1120" spans="1:4" ht="24.6" customHeight="1" thickBot="1" x14ac:dyDescent="0.25">
      <c r="A1120" s="62" t="s">
        <v>1894</v>
      </c>
      <c r="B1120" s="63" t="s">
        <v>1895</v>
      </c>
      <c r="C1120" s="61"/>
      <c r="D1120" s="61"/>
    </row>
    <row r="1121" spans="1:4" ht="24.6" customHeight="1" thickBot="1" x14ac:dyDescent="0.25">
      <c r="A1121" s="62" t="s">
        <v>1896</v>
      </c>
      <c r="B1121" s="63" t="s">
        <v>1897</v>
      </c>
      <c r="C1121" s="61"/>
      <c r="D1121" s="61"/>
    </row>
    <row r="1122" spans="1:4" ht="24.6" customHeight="1" thickBot="1" x14ac:dyDescent="0.25">
      <c r="A1122" s="62" t="s">
        <v>1898</v>
      </c>
      <c r="B1122" s="63" t="s">
        <v>1071</v>
      </c>
      <c r="C1122" s="61"/>
      <c r="D1122" s="61"/>
    </row>
    <row r="1123" spans="1:4" ht="24.6" customHeight="1" thickBot="1" x14ac:dyDescent="0.25">
      <c r="A1123" s="62" t="s">
        <v>1899</v>
      </c>
      <c r="B1123" s="63" t="s">
        <v>1073</v>
      </c>
      <c r="C1123" s="61"/>
      <c r="D1123" s="61"/>
    </row>
    <row r="1124" spans="1:4" ht="24.6" customHeight="1" thickBot="1" x14ac:dyDescent="0.25">
      <c r="A1124" s="62" t="s">
        <v>1900</v>
      </c>
      <c r="B1124" s="63" t="s">
        <v>1075</v>
      </c>
      <c r="C1124" s="61"/>
      <c r="D1124" s="61"/>
    </row>
    <row r="1125" spans="1:4" ht="24.6" customHeight="1" thickBot="1" x14ac:dyDescent="0.25">
      <c r="A1125" s="62" t="s">
        <v>1901</v>
      </c>
      <c r="B1125" s="63" t="s">
        <v>1268</v>
      </c>
      <c r="C1125" s="61"/>
      <c r="D1125" s="61"/>
    </row>
    <row r="1126" spans="1:4" ht="24.6" customHeight="1" thickBot="1" x14ac:dyDescent="0.25">
      <c r="A1126" s="62" t="s">
        <v>1902</v>
      </c>
      <c r="B1126" s="63" t="s">
        <v>1371</v>
      </c>
      <c r="C1126" s="61"/>
      <c r="D1126" s="61"/>
    </row>
    <row r="1127" spans="1:4" ht="24.6" customHeight="1" thickBot="1" x14ac:dyDescent="0.25">
      <c r="A1127" s="62" t="s">
        <v>1903</v>
      </c>
      <c r="B1127" s="63" t="s">
        <v>1083</v>
      </c>
      <c r="C1127" s="61"/>
      <c r="D1127" s="61"/>
    </row>
    <row r="1128" spans="1:4" ht="24.6" customHeight="1" thickBot="1" x14ac:dyDescent="0.25">
      <c r="A1128" s="62" t="s">
        <v>1904</v>
      </c>
      <c r="B1128" s="63" t="s">
        <v>1081</v>
      </c>
      <c r="C1128" s="61"/>
      <c r="D1128" s="61"/>
    </row>
    <row r="1129" spans="1:4" ht="24.6" customHeight="1" thickBot="1" x14ac:dyDescent="0.25">
      <c r="A1129" s="62" t="s">
        <v>1905</v>
      </c>
      <c r="B1129" s="63" t="s">
        <v>1376</v>
      </c>
      <c r="C1129" s="61"/>
      <c r="D1129" s="61"/>
    </row>
    <row r="1130" spans="1:4" ht="24.6" customHeight="1" thickBot="1" x14ac:dyDescent="0.25">
      <c r="A1130" s="62" t="s">
        <v>1906</v>
      </c>
      <c r="B1130" s="63" t="s">
        <v>1275</v>
      </c>
      <c r="C1130" s="61"/>
      <c r="D1130" s="61"/>
    </row>
    <row r="1131" spans="1:4" ht="24.6" customHeight="1" thickBot="1" x14ac:dyDescent="0.25">
      <c r="A1131" s="62" t="s">
        <v>1907</v>
      </c>
      <c r="B1131" s="63" t="s">
        <v>1086</v>
      </c>
      <c r="C1131" s="61"/>
      <c r="D1131" s="61"/>
    </row>
    <row r="1132" spans="1:4" ht="24.6" customHeight="1" thickBot="1" x14ac:dyDescent="0.25">
      <c r="A1132" s="62" t="s">
        <v>1908</v>
      </c>
      <c r="B1132" s="63" t="s">
        <v>1691</v>
      </c>
      <c r="C1132" s="61"/>
      <c r="D1132" s="61"/>
    </row>
    <row r="1133" spans="1:4" ht="24.6" customHeight="1" thickBot="1" x14ac:dyDescent="0.25">
      <c r="A1133" s="911" t="s">
        <v>1091</v>
      </c>
      <c r="B1133" s="912"/>
      <c r="C1133" s="61"/>
      <c r="D1133" s="61"/>
    </row>
    <row r="1134" spans="1:4" ht="24.6" customHeight="1" thickBot="1" x14ac:dyDescent="0.25">
      <c r="A1134" s="62" t="s">
        <v>1909</v>
      </c>
      <c r="B1134" s="63" t="s">
        <v>185</v>
      </c>
      <c r="C1134" s="61"/>
      <c r="D1134" s="61"/>
    </row>
    <row r="1135" spans="1:4" ht="24.6" customHeight="1" thickBot="1" x14ac:dyDescent="0.25">
      <c r="A1135" s="62" t="s">
        <v>1910</v>
      </c>
      <c r="B1135" s="63" t="s">
        <v>1094</v>
      </c>
      <c r="C1135" s="61"/>
      <c r="D1135" s="61"/>
    </row>
    <row r="1136" spans="1:4" ht="24.6" customHeight="1" thickBot="1" x14ac:dyDescent="0.25">
      <c r="A1136" s="62" t="s">
        <v>1911</v>
      </c>
      <c r="B1136" s="63" t="s">
        <v>1096</v>
      </c>
      <c r="C1136" s="61"/>
      <c r="D1136" s="61"/>
    </row>
    <row r="1137" spans="1:4" ht="24.6" customHeight="1" thickBot="1" x14ac:dyDescent="0.25">
      <c r="A1137" s="62" t="s">
        <v>1912</v>
      </c>
      <c r="B1137" s="63" t="s">
        <v>189</v>
      </c>
      <c r="C1137" s="61"/>
      <c r="D1137" s="61"/>
    </row>
    <row r="1138" spans="1:4" ht="24.6" customHeight="1" thickBot="1" x14ac:dyDescent="0.25">
      <c r="A1138" s="62" t="s">
        <v>1913</v>
      </c>
      <c r="B1138" s="63" t="s">
        <v>191</v>
      </c>
      <c r="C1138" s="61"/>
      <c r="D1138" s="61"/>
    </row>
    <row r="1139" spans="1:4" ht="24.6" customHeight="1" thickBot="1" x14ac:dyDescent="0.25">
      <c r="A1139" s="62" t="s">
        <v>1914</v>
      </c>
      <c r="B1139" s="63" t="s">
        <v>193</v>
      </c>
      <c r="C1139" s="61"/>
      <c r="D1139" s="61"/>
    </row>
    <row r="1140" spans="1:4" ht="24.6" customHeight="1" thickBot="1" x14ac:dyDescent="0.25">
      <c r="A1140" s="62" t="s">
        <v>1915</v>
      </c>
      <c r="B1140" s="63" t="s">
        <v>195</v>
      </c>
      <c r="C1140" s="61"/>
      <c r="D1140" s="61"/>
    </row>
    <row r="1141" spans="1:4" ht="24.6" customHeight="1" thickBot="1" x14ac:dyDescent="0.25">
      <c r="A1141" s="62" t="s">
        <v>1916</v>
      </c>
      <c r="B1141" s="63" t="s">
        <v>156</v>
      </c>
      <c r="C1141" s="61"/>
      <c r="D1141" s="61"/>
    </row>
    <row r="1142" spans="1:4" ht="24.6" customHeight="1" thickBot="1" x14ac:dyDescent="0.25">
      <c r="A1142" s="911" t="s">
        <v>1917</v>
      </c>
      <c r="B1142" s="912"/>
      <c r="C1142" s="61"/>
      <c r="D1142" s="61"/>
    </row>
    <row r="1143" spans="1:4" ht="24.6" customHeight="1" thickBot="1" x14ac:dyDescent="0.25">
      <c r="A1143" s="911" t="s">
        <v>1918</v>
      </c>
      <c r="B1143" s="912"/>
      <c r="C1143" s="61"/>
      <c r="D1143" s="61"/>
    </row>
    <row r="1144" spans="1:4" ht="24.6" customHeight="1" thickBot="1" x14ac:dyDescent="0.25">
      <c r="A1144" s="62" t="s">
        <v>1919</v>
      </c>
      <c r="B1144" s="63" t="s">
        <v>1895</v>
      </c>
      <c r="C1144" s="61"/>
      <c r="D1144" s="61"/>
    </row>
    <row r="1145" spans="1:4" ht="24.6" customHeight="1" thickBot="1" x14ac:dyDescent="0.25">
      <c r="A1145" s="62" t="s">
        <v>1920</v>
      </c>
      <c r="B1145" s="63" t="s">
        <v>1897</v>
      </c>
      <c r="C1145" s="61"/>
      <c r="D1145" s="61"/>
    </row>
    <row r="1146" spans="1:4" ht="24.6" customHeight="1" thickBot="1" x14ac:dyDescent="0.25">
      <c r="A1146" s="62" t="s">
        <v>1921</v>
      </c>
      <c r="B1146" s="63" t="s">
        <v>1071</v>
      </c>
      <c r="C1146" s="61"/>
      <c r="D1146" s="61"/>
    </row>
    <row r="1147" spans="1:4" ht="24.6" customHeight="1" thickBot="1" x14ac:dyDescent="0.25">
      <c r="A1147" s="62" t="s">
        <v>1922</v>
      </c>
      <c r="B1147" s="63" t="s">
        <v>936</v>
      </c>
      <c r="C1147" s="61"/>
      <c r="D1147" s="61"/>
    </row>
    <row r="1148" spans="1:4" ht="24.6" customHeight="1" thickBot="1" x14ac:dyDescent="0.25">
      <c r="A1148" s="62" t="s">
        <v>1923</v>
      </c>
      <c r="B1148" s="63" t="s">
        <v>1924</v>
      </c>
      <c r="C1148" s="61"/>
      <c r="D1148" s="61"/>
    </row>
    <row r="1149" spans="1:4" ht="24.6" customHeight="1" thickBot="1" x14ac:dyDescent="0.25">
      <c r="A1149" s="62" t="s">
        <v>1925</v>
      </c>
      <c r="B1149" s="63" t="s">
        <v>1926</v>
      </c>
      <c r="C1149" s="61"/>
      <c r="D1149" s="61"/>
    </row>
    <row r="1150" spans="1:4" ht="24.6" customHeight="1" thickBot="1" x14ac:dyDescent="0.25">
      <c r="A1150" s="62" t="s">
        <v>1927</v>
      </c>
      <c r="B1150" s="63" t="s">
        <v>1928</v>
      </c>
      <c r="C1150" s="61"/>
      <c r="D1150" s="61"/>
    </row>
    <row r="1151" spans="1:4" ht="24.6" customHeight="1" thickBot="1" x14ac:dyDescent="0.25">
      <c r="A1151" s="62" t="s">
        <v>1929</v>
      </c>
      <c r="B1151" s="63" t="s">
        <v>1930</v>
      </c>
      <c r="C1151" s="61"/>
      <c r="D1151" s="61"/>
    </row>
    <row r="1152" spans="1:4" ht="24.6" customHeight="1" thickBot="1" x14ac:dyDescent="0.25">
      <c r="A1152" s="62" t="s">
        <v>1931</v>
      </c>
      <c r="B1152" s="63" t="s">
        <v>1083</v>
      </c>
      <c r="C1152" s="61"/>
      <c r="D1152" s="61"/>
    </row>
    <row r="1153" spans="1:4" ht="24.6" customHeight="1" thickBot="1" x14ac:dyDescent="0.25">
      <c r="A1153" s="62" t="s">
        <v>1932</v>
      </c>
      <c r="B1153" s="63" t="s">
        <v>1081</v>
      </c>
      <c r="C1153" s="61"/>
      <c r="D1153" s="61"/>
    </row>
    <row r="1154" spans="1:4" ht="24.6" customHeight="1" thickBot="1" x14ac:dyDescent="0.25">
      <c r="A1154" s="62" t="s">
        <v>1933</v>
      </c>
      <c r="B1154" s="63" t="s">
        <v>1934</v>
      </c>
      <c r="C1154" s="61"/>
      <c r="D1154" s="61"/>
    </row>
    <row r="1155" spans="1:4" ht="24.6" customHeight="1" thickBot="1" x14ac:dyDescent="0.25">
      <c r="A1155" s="62" t="s">
        <v>1935</v>
      </c>
      <c r="B1155" s="63" t="s">
        <v>1691</v>
      </c>
      <c r="C1155" s="61"/>
      <c r="D1155" s="61"/>
    </row>
    <row r="1156" spans="1:4" ht="24.6" customHeight="1" thickBot="1" x14ac:dyDescent="0.25">
      <c r="A1156" s="911" t="s">
        <v>1936</v>
      </c>
      <c r="B1156" s="912"/>
      <c r="C1156" s="61"/>
      <c r="D1156" s="61"/>
    </row>
    <row r="1157" spans="1:4" ht="24.6" customHeight="1" thickBot="1" x14ac:dyDescent="0.25">
      <c r="A1157" s="62" t="s">
        <v>1937</v>
      </c>
      <c r="B1157" s="63" t="s">
        <v>1938</v>
      </c>
      <c r="C1157" s="61"/>
      <c r="D1157" s="61"/>
    </row>
    <row r="1158" spans="1:4" ht="24.6" customHeight="1" thickBot="1" x14ac:dyDescent="0.25">
      <c r="A1158" s="62" t="s">
        <v>1939</v>
      </c>
      <c r="B1158" s="63" t="s">
        <v>1733</v>
      </c>
      <c r="C1158" s="61"/>
      <c r="D1158" s="61"/>
    </row>
    <row r="1159" spans="1:4" ht="24.6" customHeight="1" thickBot="1" x14ac:dyDescent="0.25">
      <c r="A1159" s="62" t="s">
        <v>1940</v>
      </c>
      <c r="B1159" s="63" t="s">
        <v>1941</v>
      </c>
      <c r="C1159" s="61"/>
      <c r="D1159" s="61"/>
    </row>
    <row r="1160" spans="1:4" ht="24.6" customHeight="1" thickBot="1" x14ac:dyDescent="0.25">
      <c r="A1160" s="62" t="s">
        <v>1942</v>
      </c>
      <c r="B1160" s="63" t="s">
        <v>1943</v>
      </c>
      <c r="C1160" s="61"/>
      <c r="D1160" s="61"/>
    </row>
    <row r="1161" spans="1:4" ht="24.6" customHeight="1" thickBot="1" x14ac:dyDescent="0.25">
      <c r="A1161" s="62" t="s">
        <v>1944</v>
      </c>
      <c r="B1161" s="63" t="s">
        <v>1945</v>
      </c>
      <c r="C1161" s="61"/>
      <c r="D1161" s="61"/>
    </row>
    <row r="1162" spans="1:4" ht="24.6" customHeight="1" thickBot="1" x14ac:dyDescent="0.25">
      <c r="A1162" s="62" t="s">
        <v>1946</v>
      </c>
      <c r="B1162" s="63" t="s">
        <v>1947</v>
      </c>
      <c r="C1162" s="61"/>
      <c r="D1162" s="61"/>
    </row>
    <row r="1163" spans="1:4" ht="24.6" customHeight="1" thickBot="1" x14ac:dyDescent="0.25">
      <c r="A1163" s="62" t="s">
        <v>1948</v>
      </c>
      <c r="B1163" s="63" t="s">
        <v>1949</v>
      </c>
      <c r="C1163" s="61"/>
      <c r="D1163" s="61"/>
    </row>
    <row r="1164" spans="1:4" ht="24.6" customHeight="1" thickBot="1" x14ac:dyDescent="0.25">
      <c r="A1164" s="62" t="s">
        <v>1950</v>
      </c>
      <c r="B1164" s="63" t="s">
        <v>1951</v>
      </c>
      <c r="C1164" s="61"/>
      <c r="D1164" s="61"/>
    </row>
    <row r="1165" spans="1:4" ht="24.6" customHeight="1" thickBot="1" x14ac:dyDescent="0.25">
      <c r="A1165" s="62" t="s">
        <v>1952</v>
      </c>
      <c r="B1165" s="63" t="s">
        <v>1953</v>
      </c>
      <c r="C1165" s="61"/>
      <c r="D1165" s="61"/>
    </row>
    <row r="1166" spans="1:4" ht="24.6" customHeight="1" thickBot="1" x14ac:dyDescent="0.25">
      <c r="A1166" s="62" t="s">
        <v>1954</v>
      </c>
      <c r="B1166" s="63" t="s">
        <v>1955</v>
      </c>
      <c r="C1166" s="61"/>
      <c r="D1166" s="61"/>
    </row>
    <row r="1167" spans="1:4" ht="24.6" customHeight="1" thickBot="1" x14ac:dyDescent="0.25">
      <c r="A1167" s="62" t="s">
        <v>1956</v>
      </c>
      <c r="B1167" s="63" t="s">
        <v>1957</v>
      </c>
      <c r="C1167" s="61"/>
      <c r="D1167" s="61"/>
    </row>
    <row r="1168" spans="1:4" ht="24.6" customHeight="1" thickBot="1" x14ac:dyDescent="0.25">
      <c r="A1168" s="62" t="s">
        <v>1958</v>
      </c>
      <c r="B1168" s="63" t="s">
        <v>1959</v>
      </c>
      <c r="C1168" s="61"/>
      <c r="D1168" s="61"/>
    </row>
    <row r="1169" spans="1:4" ht="24.6" customHeight="1" thickBot="1" x14ac:dyDescent="0.25">
      <c r="A1169" s="62" t="s">
        <v>1960</v>
      </c>
      <c r="B1169" s="63" t="s">
        <v>1961</v>
      </c>
      <c r="C1169" s="61"/>
      <c r="D1169" s="61"/>
    </row>
    <row r="1170" spans="1:4" ht="24.6" customHeight="1" thickBot="1" x14ac:dyDescent="0.25">
      <c r="A1170" s="62" t="s">
        <v>1962</v>
      </c>
      <c r="B1170" s="63" t="s">
        <v>1963</v>
      </c>
      <c r="C1170" s="61"/>
      <c r="D1170" s="61"/>
    </row>
    <row r="1171" spans="1:4" ht="24.6" customHeight="1" thickBot="1" x14ac:dyDescent="0.25">
      <c r="A1171" s="62" t="s">
        <v>1964</v>
      </c>
      <c r="B1171" s="63" t="s">
        <v>1965</v>
      </c>
      <c r="C1171" s="61"/>
      <c r="D1171" s="61"/>
    </row>
    <row r="1172" spans="1:4" ht="24.6" customHeight="1" thickBot="1" x14ac:dyDescent="0.25">
      <c r="A1172" s="62" t="s">
        <v>1966</v>
      </c>
      <c r="B1172" s="63" t="s">
        <v>1967</v>
      </c>
      <c r="C1172" s="61"/>
      <c r="D1172" s="61"/>
    </row>
    <row r="1173" spans="1:4" ht="24.6" customHeight="1" thickBot="1" x14ac:dyDescent="0.25">
      <c r="A1173" s="62" t="s">
        <v>1968</v>
      </c>
      <c r="B1173" s="63" t="s">
        <v>1969</v>
      </c>
      <c r="C1173" s="61"/>
      <c r="D1173" s="61"/>
    </row>
    <row r="1174" spans="1:4" ht="24.6" customHeight="1" thickBot="1" x14ac:dyDescent="0.25">
      <c r="A1174" s="62" t="s">
        <v>1970</v>
      </c>
      <c r="B1174" s="63" t="s">
        <v>1971</v>
      </c>
      <c r="C1174" s="61"/>
      <c r="D1174" s="61"/>
    </row>
    <row r="1175" spans="1:4" ht="24.6" customHeight="1" thickBot="1" x14ac:dyDescent="0.25">
      <c r="A1175" s="62" t="s">
        <v>1972</v>
      </c>
      <c r="B1175" s="63" t="s">
        <v>1973</v>
      </c>
      <c r="C1175" s="61"/>
      <c r="D1175" s="61"/>
    </row>
    <row r="1176" spans="1:4" ht="24.6" customHeight="1" thickBot="1" x14ac:dyDescent="0.25">
      <c r="A1176" s="62" t="s">
        <v>1974</v>
      </c>
      <c r="B1176" s="63" t="s">
        <v>1975</v>
      </c>
      <c r="C1176" s="61"/>
      <c r="D1176" s="61"/>
    </row>
    <row r="1177" spans="1:4" ht="24.6" customHeight="1" thickBot="1" x14ac:dyDescent="0.25">
      <c r="A1177" s="62" t="s">
        <v>1976</v>
      </c>
      <c r="B1177" s="63" t="s">
        <v>1511</v>
      </c>
      <c r="C1177" s="61"/>
      <c r="D1177" s="61"/>
    </row>
    <row r="1178" spans="1:4" ht="24.6" customHeight="1" thickBot="1" x14ac:dyDescent="0.25">
      <c r="A1178" s="911" t="s">
        <v>1977</v>
      </c>
      <c r="B1178" s="912"/>
      <c r="C1178" s="61"/>
      <c r="D1178" s="61"/>
    </row>
    <row r="1179" spans="1:4" ht="24.6" customHeight="1" thickBot="1" x14ac:dyDescent="0.25">
      <c r="A1179" s="62" t="s">
        <v>1978</v>
      </c>
      <c r="B1179" s="63" t="s">
        <v>1979</v>
      </c>
      <c r="C1179" s="61"/>
      <c r="D1179" s="61"/>
    </row>
    <row r="1180" spans="1:4" ht="24.6" customHeight="1" thickBot="1" x14ac:dyDescent="0.25">
      <c r="A1180" s="62" t="s">
        <v>1980</v>
      </c>
      <c r="B1180" s="63" t="s">
        <v>1981</v>
      </c>
      <c r="C1180" s="61"/>
      <c r="D1180" s="61"/>
    </row>
    <row r="1181" spans="1:4" ht="24.6" customHeight="1" thickBot="1" x14ac:dyDescent="0.25">
      <c r="A1181" s="62" t="s">
        <v>1982</v>
      </c>
      <c r="B1181" s="63" t="s">
        <v>1983</v>
      </c>
      <c r="C1181" s="61"/>
      <c r="D1181" s="61"/>
    </row>
    <row r="1182" spans="1:4" ht="24.6" customHeight="1" thickBot="1" x14ac:dyDescent="0.25">
      <c r="A1182" s="62" t="s">
        <v>1984</v>
      </c>
      <c r="B1182" s="63" t="s">
        <v>1985</v>
      </c>
      <c r="C1182" s="61"/>
      <c r="D1182" s="61"/>
    </row>
    <row r="1183" spans="1:4" ht="24.6" customHeight="1" thickBot="1" x14ac:dyDescent="0.25">
      <c r="A1183" s="62" t="s">
        <v>1986</v>
      </c>
      <c r="B1183" s="63" t="s">
        <v>1987</v>
      </c>
      <c r="C1183" s="61"/>
      <c r="D1183" s="61"/>
    </row>
    <row r="1184" spans="1:4" ht="24.6" customHeight="1" thickBot="1" x14ac:dyDescent="0.25">
      <c r="A1184" s="62" t="s">
        <v>1988</v>
      </c>
      <c r="B1184" s="63" t="s">
        <v>1737</v>
      </c>
      <c r="C1184" s="61"/>
      <c r="D1184" s="61"/>
    </row>
    <row r="1185" spans="1:4" ht="24.6" customHeight="1" thickBot="1" x14ac:dyDescent="0.25">
      <c r="A1185" s="62" t="s">
        <v>1989</v>
      </c>
      <c r="B1185" s="63" t="s">
        <v>1990</v>
      </c>
      <c r="C1185" s="61"/>
      <c r="D1185" s="61"/>
    </row>
    <row r="1186" spans="1:4" ht="24.6" customHeight="1" thickBot="1" x14ac:dyDescent="0.25">
      <c r="A1186" s="62" t="s">
        <v>1991</v>
      </c>
      <c r="B1186" s="63" t="s">
        <v>1992</v>
      </c>
      <c r="C1186" s="61"/>
      <c r="D1186" s="61"/>
    </row>
    <row r="1187" spans="1:4" ht="24.6" customHeight="1" thickBot="1" x14ac:dyDescent="0.25">
      <c r="A1187" s="62" t="s">
        <v>1993</v>
      </c>
      <c r="B1187" s="63" t="s">
        <v>1994</v>
      </c>
      <c r="C1187" s="61"/>
      <c r="D1187" s="61"/>
    </row>
    <row r="1188" spans="1:4" ht="24.6" customHeight="1" thickBot="1" x14ac:dyDescent="0.25">
      <c r="A1188" s="62" t="s">
        <v>1995</v>
      </c>
      <c r="B1188" s="63" t="s">
        <v>1996</v>
      </c>
      <c r="C1188" s="61"/>
      <c r="D1188" s="61"/>
    </row>
    <row r="1189" spans="1:4" ht="24.6" customHeight="1" thickBot="1" x14ac:dyDescent="0.25">
      <c r="A1189" s="62" t="s">
        <v>1997</v>
      </c>
      <c r="B1189" s="63" t="s">
        <v>1998</v>
      </c>
      <c r="C1189" s="61"/>
      <c r="D1189" s="61"/>
    </row>
    <row r="1190" spans="1:4" ht="24.6" customHeight="1" thickBot="1" x14ac:dyDescent="0.25">
      <c r="A1190" s="62" t="s">
        <v>1999</v>
      </c>
      <c r="B1190" s="63" t="s">
        <v>2000</v>
      </c>
      <c r="C1190" s="61"/>
      <c r="D1190" s="61"/>
    </row>
    <row r="1191" spans="1:4" ht="24.6" customHeight="1" thickBot="1" x14ac:dyDescent="0.25">
      <c r="A1191" s="62" t="s">
        <v>2001</v>
      </c>
      <c r="B1191" s="63" t="s">
        <v>2002</v>
      </c>
      <c r="C1191" s="61"/>
      <c r="D1191" s="61"/>
    </row>
    <row r="1192" spans="1:4" ht="24.6" customHeight="1" thickBot="1" x14ac:dyDescent="0.25">
      <c r="A1192" s="62" t="s">
        <v>2003</v>
      </c>
      <c r="B1192" s="63" t="s">
        <v>2004</v>
      </c>
      <c r="C1192" s="61"/>
      <c r="D1192" s="61"/>
    </row>
    <row r="1193" spans="1:4" ht="24.6" customHeight="1" thickBot="1" x14ac:dyDescent="0.25">
      <c r="A1193" s="62" t="s">
        <v>2005</v>
      </c>
      <c r="B1193" s="63" t="s">
        <v>2006</v>
      </c>
      <c r="C1193" s="61"/>
      <c r="D1193" s="61"/>
    </row>
    <row r="1194" spans="1:4" ht="24.6" customHeight="1" thickBot="1" x14ac:dyDescent="0.25">
      <c r="A1194" s="62" t="s">
        <v>2007</v>
      </c>
      <c r="B1194" s="63" t="s">
        <v>2008</v>
      </c>
      <c r="C1194" s="61"/>
      <c r="D1194" s="61"/>
    </row>
    <row r="1195" spans="1:4" ht="24.6" customHeight="1" thickBot="1" x14ac:dyDescent="0.25">
      <c r="A1195" s="62" t="s">
        <v>2009</v>
      </c>
      <c r="B1195" s="63" t="s">
        <v>2010</v>
      </c>
      <c r="C1195" s="61"/>
      <c r="D1195" s="61"/>
    </row>
    <row r="1196" spans="1:4" ht="24.6" customHeight="1" thickBot="1" x14ac:dyDescent="0.25">
      <c r="A1196" s="62" t="s">
        <v>2011</v>
      </c>
      <c r="B1196" s="63" t="s">
        <v>2012</v>
      </c>
      <c r="C1196" s="61"/>
      <c r="D1196" s="61"/>
    </row>
    <row r="1197" spans="1:4" ht="24.6" customHeight="1" thickBot="1" x14ac:dyDescent="0.25">
      <c r="A1197" s="62" t="s">
        <v>2013</v>
      </c>
      <c r="B1197" s="63" t="s">
        <v>2014</v>
      </c>
      <c r="C1197" s="61"/>
      <c r="D1197" s="61"/>
    </row>
    <row r="1198" spans="1:4" ht="24.6" customHeight="1" thickBot="1" x14ac:dyDescent="0.25">
      <c r="A1198" s="62" t="s">
        <v>2015</v>
      </c>
      <c r="B1198" s="63" t="s">
        <v>2016</v>
      </c>
      <c r="C1198" s="61"/>
      <c r="D1198" s="61"/>
    </row>
    <row r="1199" spans="1:4" ht="24.6" customHeight="1" thickBot="1" x14ac:dyDescent="0.25">
      <c r="A1199" s="911" t="s">
        <v>2017</v>
      </c>
      <c r="B1199" s="912"/>
      <c r="C1199" s="61"/>
      <c r="D1199" s="61"/>
    </row>
    <row r="1200" spans="1:4" ht="24.6" customHeight="1" thickBot="1" x14ac:dyDescent="0.25">
      <c r="A1200" s="62" t="s">
        <v>2018</v>
      </c>
      <c r="B1200" s="63" t="s">
        <v>2019</v>
      </c>
      <c r="C1200" s="61"/>
      <c r="D1200" s="61"/>
    </row>
    <row r="1201" spans="1:4" ht="24.6" customHeight="1" thickBot="1" x14ac:dyDescent="0.25">
      <c r="A1201" s="62" t="s">
        <v>2020</v>
      </c>
      <c r="B1201" s="63" t="s">
        <v>2021</v>
      </c>
      <c r="C1201" s="61"/>
      <c r="D1201" s="61"/>
    </row>
    <row r="1202" spans="1:4" ht="24.6" customHeight="1" thickBot="1" x14ac:dyDescent="0.25">
      <c r="A1202" s="62" t="s">
        <v>2022</v>
      </c>
      <c r="B1202" s="63" t="s">
        <v>2023</v>
      </c>
      <c r="C1202" s="61"/>
      <c r="D1202" s="61"/>
    </row>
    <row r="1203" spans="1:4" ht="24.6" customHeight="1" thickBot="1" x14ac:dyDescent="0.25">
      <c r="A1203" s="62" t="s">
        <v>2024</v>
      </c>
      <c r="B1203" s="63" t="s">
        <v>2025</v>
      </c>
      <c r="C1203" s="61"/>
      <c r="D1203" s="61"/>
    </row>
    <row r="1204" spans="1:4" ht="24.6" customHeight="1" thickBot="1" x14ac:dyDescent="0.25">
      <c r="A1204" s="62" t="s">
        <v>2026</v>
      </c>
      <c r="B1204" s="63" t="s">
        <v>2027</v>
      </c>
      <c r="C1204" s="61"/>
      <c r="D1204" s="61"/>
    </row>
    <row r="1205" spans="1:4" ht="24.6" customHeight="1" thickBot="1" x14ac:dyDescent="0.25">
      <c r="A1205" s="62" t="s">
        <v>2028</v>
      </c>
      <c r="B1205" s="63" t="s">
        <v>2029</v>
      </c>
      <c r="C1205" s="61"/>
      <c r="D1205" s="61"/>
    </row>
    <row r="1206" spans="1:4" ht="24.6" customHeight="1" thickBot="1" x14ac:dyDescent="0.25">
      <c r="A1206" s="62" t="s">
        <v>2030</v>
      </c>
      <c r="B1206" s="63" t="s">
        <v>2031</v>
      </c>
      <c r="C1206" s="61"/>
      <c r="D1206" s="61"/>
    </row>
    <row r="1207" spans="1:4" ht="24.6" customHeight="1" thickBot="1" x14ac:dyDescent="0.25">
      <c r="A1207" s="62" t="s">
        <v>2032</v>
      </c>
      <c r="B1207" s="63" t="s">
        <v>2033</v>
      </c>
      <c r="C1207" s="61"/>
      <c r="D1207" s="61"/>
    </row>
    <row r="1208" spans="1:4" ht="24.6" customHeight="1" thickBot="1" x14ac:dyDescent="0.25">
      <c r="A1208" s="62" t="s">
        <v>2034</v>
      </c>
      <c r="B1208" s="63" t="s">
        <v>2035</v>
      </c>
      <c r="C1208" s="61"/>
      <c r="D1208" s="61"/>
    </row>
    <row r="1209" spans="1:4" ht="24.6" customHeight="1" thickBot="1" x14ac:dyDescent="0.25">
      <c r="A1209" s="62" t="s">
        <v>2036</v>
      </c>
      <c r="B1209" s="63" t="s">
        <v>2037</v>
      </c>
      <c r="C1209" s="61"/>
      <c r="D1209" s="61"/>
    </row>
    <row r="1210" spans="1:4" ht="24.6" customHeight="1" thickBot="1" x14ac:dyDescent="0.25">
      <c r="A1210" s="62" t="s">
        <v>2038</v>
      </c>
      <c r="B1210" s="63" t="s">
        <v>2039</v>
      </c>
      <c r="C1210" s="61"/>
      <c r="D1210" s="61"/>
    </row>
    <row r="1211" spans="1:4" ht="24.6" customHeight="1" thickBot="1" x14ac:dyDescent="0.25">
      <c r="A1211" s="62" t="s">
        <v>2040</v>
      </c>
      <c r="B1211" s="63" t="s">
        <v>2041</v>
      </c>
      <c r="C1211" s="61"/>
      <c r="D1211" s="61"/>
    </row>
    <row r="1212" spans="1:4" ht="24.6" customHeight="1" thickBot="1" x14ac:dyDescent="0.25">
      <c r="A1212" s="62" t="s">
        <v>2042</v>
      </c>
      <c r="B1212" s="63" t="s">
        <v>2043</v>
      </c>
      <c r="C1212" s="61"/>
      <c r="D1212" s="61"/>
    </row>
    <row r="1213" spans="1:4" ht="24.6" customHeight="1" thickBot="1" x14ac:dyDescent="0.25">
      <c r="A1213" s="62" t="s">
        <v>2044</v>
      </c>
      <c r="B1213" s="63" t="s">
        <v>2045</v>
      </c>
      <c r="C1213" s="61"/>
      <c r="D1213" s="61"/>
    </row>
    <row r="1214" spans="1:4" ht="24.6" customHeight="1" thickBot="1" x14ac:dyDescent="0.25">
      <c r="A1214" s="62" t="s">
        <v>2046</v>
      </c>
      <c r="B1214" s="63" t="s">
        <v>2047</v>
      </c>
      <c r="C1214" s="61"/>
      <c r="D1214" s="61"/>
    </row>
    <row r="1215" spans="1:4" ht="24.6" customHeight="1" thickBot="1" x14ac:dyDescent="0.25">
      <c r="A1215" s="62" t="s">
        <v>2048</v>
      </c>
      <c r="B1215" s="63" t="s">
        <v>2049</v>
      </c>
      <c r="C1215" s="61"/>
      <c r="D1215" s="61"/>
    </row>
    <row r="1216" spans="1:4" ht="24.6" customHeight="1" thickBot="1" x14ac:dyDescent="0.25">
      <c r="A1216" s="62" t="s">
        <v>2050</v>
      </c>
      <c r="B1216" s="63" t="s">
        <v>2051</v>
      </c>
      <c r="C1216" s="61"/>
      <c r="D1216" s="61"/>
    </row>
    <row r="1217" spans="1:4" ht="24.6" customHeight="1" thickBot="1" x14ac:dyDescent="0.25">
      <c r="A1217" s="62" t="s">
        <v>2052</v>
      </c>
      <c r="B1217" s="63" t="s">
        <v>2053</v>
      </c>
      <c r="C1217" s="61"/>
      <c r="D1217" s="61"/>
    </row>
    <row r="1218" spans="1:4" ht="24.6" customHeight="1" thickBot="1" x14ac:dyDescent="0.25">
      <c r="A1218" s="62" t="s">
        <v>2054</v>
      </c>
      <c r="B1218" s="63" t="s">
        <v>2055</v>
      </c>
      <c r="C1218" s="61"/>
      <c r="D1218" s="61"/>
    </row>
    <row r="1219" spans="1:4" ht="24.6" customHeight="1" thickBot="1" x14ac:dyDescent="0.25">
      <c r="A1219" s="62" t="s">
        <v>2056</v>
      </c>
      <c r="B1219" s="63" t="s">
        <v>2057</v>
      </c>
      <c r="C1219" s="61"/>
      <c r="D1219" s="61"/>
    </row>
    <row r="1220" spans="1:4" ht="24.6" customHeight="1" thickBot="1" x14ac:dyDescent="0.25">
      <c r="A1220" s="62" t="s">
        <v>2058</v>
      </c>
      <c r="B1220" s="63" t="s">
        <v>2059</v>
      </c>
      <c r="C1220" s="61"/>
      <c r="D1220" s="61"/>
    </row>
    <row r="1221" spans="1:4" ht="24.6" customHeight="1" thickBot="1" x14ac:dyDescent="0.25">
      <c r="A1221" s="62" t="s">
        <v>2060</v>
      </c>
      <c r="B1221" s="63" t="s">
        <v>2061</v>
      </c>
      <c r="C1221" s="61"/>
      <c r="D1221" s="61"/>
    </row>
    <row r="1222" spans="1:4" ht="24.6" customHeight="1" thickBot="1" x14ac:dyDescent="0.25">
      <c r="A1222" s="62" t="s">
        <v>2062</v>
      </c>
      <c r="B1222" s="63" t="s">
        <v>2063</v>
      </c>
      <c r="C1222" s="61"/>
      <c r="D1222" s="61"/>
    </row>
    <row r="1223" spans="1:4" ht="24.6" customHeight="1" thickBot="1" x14ac:dyDescent="0.25">
      <c r="A1223" s="62" t="s">
        <v>2064</v>
      </c>
      <c r="B1223" s="63" t="s">
        <v>2065</v>
      </c>
      <c r="C1223" s="61"/>
      <c r="D1223" s="61"/>
    </row>
    <row r="1224" spans="1:4" ht="24.6" customHeight="1" thickBot="1" x14ac:dyDescent="0.25">
      <c r="A1224" s="62" t="s">
        <v>2066</v>
      </c>
      <c r="B1224" s="63" t="s">
        <v>2067</v>
      </c>
      <c r="C1224" s="61"/>
      <c r="D1224" s="61"/>
    </row>
    <row r="1225" spans="1:4" ht="24.6" customHeight="1" thickBot="1" x14ac:dyDescent="0.25">
      <c r="A1225" s="62" t="s">
        <v>2068</v>
      </c>
      <c r="B1225" s="63" t="s">
        <v>2069</v>
      </c>
      <c r="C1225" s="61"/>
      <c r="D1225" s="61"/>
    </row>
    <row r="1226" spans="1:4" ht="24.6" customHeight="1" thickBot="1" x14ac:dyDescent="0.25">
      <c r="A1226" s="62" t="s">
        <v>2070</v>
      </c>
      <c r="B1226" s="63" t="s">
        <v>2071</v>
      </c>
      <c r="C1226" s="61"/>
      <c r="D1226" s="61"/>
    </row>
    <row r="1227" spans="1:4" ht="24.6" customHeight="1" thickBot="1" x14ac:dyDescent="0.25">
      <c r="A1227" s="62" t="s">
        <v>2072</v>
      </c>
      <c r="B1227" s="63" t="s">
        <v>2073</v>
      </c>
      <c r="C1227" s="61"/>
      <c r="D1227" s="61"/>
    </row>
    <row r="1228" spans="1:4" ht="24.6" customHeight="1" thickBot="1" x14ac:dyDescent="0.25">
      <c r="A1228" s="62" t="s">
        <v>2074</v>
      </c>
      <c r="B1228" s="63" t="s">
        <v>2075</v>
      </c>
      <c r="C1228" s="61"/>
      <c r="D1228" s="61"/>
    </row>
    <row r="1229" spans="1:4" ht="24.6" customHeight="1" thickBot="1" x14ac:dyDescent="0.25">
      <c r="A1229" s="62" t="s">
        <v>2076</v>
      </c>
      <c r="B1229" s="63" t="s">
        <v>2077</v>
      </c>
      <c r="C1229" s="61"/>
      <c r="D1229" s="61"/>
    </row>
    <row r="1230" spans="1:4" ht="24.6" customHeight="1" thickBot="1" x14ac:dyDescent="0.25">
      <c r="A1230" s="62" t="s">
        <v>2078</v>
      </c>
      <c r="B1230" s="63" t="s">
        <v>2079</v>
      </c>
      <c r="C1230" s="61"/>
      <c r="D1230" s="61"/>
    </row>
    <row r="1231" spans="1:4" ht="24.6" customHeight="1" thickBot="1" x14ac:dyDescent="0.25">
      <c r="A1231" s="62" t="s">
        <v>2080</v>
      </c>
      <c r="B1231" s="63" t="s">
        <v>2081</v>
      </c>
      <c r="C1231" s="61"/>
      <c r="D1231" s="61"/>
    </row>
    <row r="1232" spans="1:4" ht="24.6" customHeight="1" thickBot="1" x14ac:dyDescent="0.25">
      <c r="A1232" s="62" t="s">
        <v>2082</v>
      </c>
      <c r="B1232" s="63" t="s">
        <v>2083</v>
      </c>
      <c r="C1232" s="61"/>
      <c r="D1232" s="61"/>
    </row>
    <row r="1233" spans="1:4" ht="24.6" customHeight="1" thickBot="1" x14ac:dyDescent="0.25">
      <c r="A1233" s="62" t="s">
        <v>2084</v>
      </c>
      <c r="B1233" s="63" t="s">
        <v>2085</v>
      </c>
      <c r="C1233" s="61"/>
      <c r="D1233" s="61"/>
    </row>
    <row r="1234" spans="1:4" ht="24.6" customHeight="1" thickBot="1" x14ac:dyDescent="0.25">
      <c r="A1234" s="62" t="s">
        <v>2086</v>
      </c>
      <c r="B1234" s="63" t="s">
        <v>2087</v>
      </c>
      <c r="C1234" s="61"/>
      <c r="D1234" s="61"/>
    </row>
    <row r="1235" spans="1:4" ht="24.6" customHeight="1" thickBot="1" x14ac:dyDescent="0.25">
      <c r="A1235" s="62" t="s">
        <v>2088</v>
      </c>
      <c r="B1235" s="63" t="s">
        <v>2089</v>
      </c>
      <c r="C1235" s="61"/>
      <c r="D1235" s="61"/>
    </row>
    <row r="1236" spans="1:4" ht="24.6" customHeight="1" thickBot="1" x14ac:dyDescent="0.25">
      <c r="A1236" s="62" t="s">
        <v>2090</v>
      </c>
      <c r="B1236" s="63" t="s">
        <v>2091</v>
      </c>
      <c r="C1236" s="61"/>
      <c r="D1236" s="61"/>
    </row>
    <row r="1237" spans="1:4" ht="24.6" customHeight="1" thickBot="1" x14ac:dyDescent="0.25">
      <c r="A1237" s="62" t="s">
        <v>2092</v>
      </c>
      <c r="B1237" s="63" t="s">
        <v>1824</v>
      </c>
      <c r="C1237" s="61"/>
      <c r="D1237" s="61"/>
    </row>
    <row r="1238" spans="1:4" ht="24.6" customHeight="1" thickBot="1" x14ac:dyDescent="0.25">
      <c r="A1238" s="62" t="s">
        <v>2093</v>
      </c>
      <c r="B1238" s="63" t="s">
        <v>2094</v>
      </c>
      <c r="C1238" s="61"/>
      <c r="D1238" s="61"/>
    </row>
    <row r="1239" spans="1:4" ht="24.6" customHeight="1" thickBot="1" x14ac:dyDescent="0.25">
      <c r="A1239" s="62" t="s">
        <v>2095</v>
      </c>
      <c r="B1239" s="63" t="s">
        <v>2096</v>
      </c>
      <c r="C1239" s="61"/>
      <c r="D1239" s="61"/>
    </row>
    <row r="1240" spans="1:4" ht="24.6" customHeight="1" thickBot="1" x14ac:dyDescent="0.25">
      <c r="A1240" s="62" t="s">
        <v>2097</v>
      </c>
      <c r="B1240" s="63" t="s">
        <v>2098</v>
      </c>
      <c r="C1240" s="61"/>
      <c r="D1240" s="61"/>
    </row>
    <row r="1241" spans="1:4" ht="24.6" customHeight="1" thickBot="1" x14ac:dyDescent="0.25">
      <c r="A1241" s="62" t="s">
        <v>2099</v>
      </c>
      <c r="B1241" s="63" t="s">
        <v>2100</v>
      </c>
      <c r="C1241" s="61"/>
      <c r="D1241" s="61"/>
    </row>
    <row r="1242" spans="1:4" ht="24.6" customHeight="1" thickBot="1" x14ac:dyDescent="0.25">
      <c r="A1242" s="62" t="s">
        <v>2101</v>
      </c>
      <c r="B1242" s="63" t="s">
        <v>2102</v>
      </c>
      <c r="C1242" s="61"/>
      <c r="D1242" s="61"/>
    </row>
    <row r="1243" spans="1:4" ht="24.6" customHeight="1" thickBot="1" x14ac:dyDescent="0.25">
      <c r="A1243" s="62" t="s">
        <v>2103</v>
      </c>
      <c r="B1243" s="63" t="s">
        <v>2104</v>
      </c>
      <c r="C1243" s="61"/>
      <c r="D1243" s="61"/>
    </row>
    <row r="1244" spans="1:4" ht="24.6" customHeight="1" thickBot="1" x14ac:dyDescent="0.25">
      <c r="A1244" s="62" t="s">
        <v>2105</v>
      </c>
      <c r="B1244" s="63" t="s">
        <v>1880</v>
      </c>
      <c r="C1244" s="61"/>
      <c r="D1244" s="61"/>
    </row>
    <row r="1245" spans="1:4" ht="24.6" customHeight="1" thickBot="1" x14ac:dyDescent="0.25">
      <c r="A1245" s="911" t="s">
        <v>2106</v>
      </c>
      <c r="B1245" s="912"/>
      <c r="C1245" s="61"/>
      <c r="D1245" s="61"/>
    </row>
    <row r="1246" spans="1:4" ht="24.6" customHeight="1" thickBot="1" x14ac:dyDescent="0.25">
      <c r="A1246" s="62" t="s">
        <v>2107</v>
      </c>
      <c r="B1246" s="63" t="s">
        <v>2108</v>
      </c>
      <c r="C1246" s="61"/>
      <c r="D1246" s="61"/>
    </row>
    <row r="1247" spans="1:4" ht="24.6" customHeight="1" thickBot="1" x14ac:dyDescent="0.25">
      <c r="A1247" s="62" t="s">
        <v>2109</v>
      </c>
      <c r="B1247" s="63" t="s">
        <v>2110</v>
      </c>
      <c r="C1247" s="61"/>
      <c r="D1247" s="61"/>
    </row>
    <row r="1248" spans="1:4" ht="24.6" customHeight="1" thickBot="1" x14ac:dyDescent="0.25">
      <c r="A1248" s="62" t="s">
        <v>2111</v>
      </c>
      <c r="B1248" s="63" t="s">
        <v>2112</v>
      </c>
      <c r="C1248" s="61"/>
      <c r="D1248" s="61"/>
    </row>
    <row r="1249" spans="1:4" ht="24.6" customHeight="1" thickBot="1" x14ac:dyDescent="0.25">
      <c r="A1249" s="62" t="s">
        <v>2113</v>
      </c>
      <c r="B1249" s="63" t="s">
        <v>2114</v>
      </c>
      <c r="C1249" s="61"/>
      <c r="D1249" s="61"/>
    </row>
    <row r="1250" spans="1:4" ht="24.6" customHeight="1" thickBot="1" x14ac:dyDescent="0.25">
      <c r="A1250" s="62" t="s">
        <v>2115</v>
      </c>
      <c r="B1250" s="63" t="s">
        <v>2116</v>
      </c>
      <c r="C1250" s="61"/>
      <c r="D1250" s="61"/>
    </row>
    <row r="1251" spans="1:4" ht="24.6" customHeight="1" thickBot="1" x14ac:dyDescent="0.25">
      <c r="A1251" s="62" t="s">
        <v>2117</v>
      </c>
      <c r="B1251" s="63" t="s">
        <v>2118</v>
      </c>
      <c r="C1251" s="61"/>
      <c r="D1251" s="61"/>
    </row>
    <row r="1252" spans="1:4" ht="24.6" customHeight="1" thickBot="1" x14ac:dyDescent="0.25">
      <c r="A1252" s="62" t="s">
        <v>2119</v>
      </c>
      <c r="B1252" s="63" t="s">
        <v>2120</v>
      </c>
      <c r="C1252" s="61"/>
      <c r="D1252" s="61"/>
    </row>
    <row r="1253" spans="1:4" ht="24.6" customHeight="1" thickBot="1" x14ac:dyDescent="0.25">
      <c r="A1253" s="62" t="s">
        <v>2121</v>
      </c>
      <c r="B1253" s="63" t="s">
        <v>2122</v>
      </c>
      <c r="C1253" s="61"/>
      <c r="D1253" s="61"/>
    </row>
    <row r="1254" spans="1:4" ht="24.6" customHeight="1" thickBot="1" x14ac:dyDescent="0.25">
      <c r="A1254" s="62" t="s">
        <v>2123</v>
      </c>
      <c r="B1254" s="63" t="s">
        <v>2124</v>
      </c>
      <c r="C1254" s="61"/>
      <c r="D1254" s="61"/>
    </row>
    <row r="1255" spans="1:4" ht="24.6" customHeight="1" thickBot="1" x14ac:dyDescent="0.25">
      <c r="A1255" s="62" t="s">
        <v>2125</v>
      </c>
      <c r="B1255" s="63" t="s">
        <v>2126</v>
      </c>
      <c r="C1255" s="61"/>
      <c r="D1255" s="61"/>
    </row>
    <row r="1256" spans="1:4" ht="24.6" customHeight="1" thickBot="1" x14ac:dyDescent="0.25">
      <c r="A1256" s="62" t="s">
        <v>2127</v>
      </c>
      <c r="B1256" s="63" t="s">
        <v>2128</v>
      </c>
      <c r="C1256" s="61"/>
      <c r="D1256" s="61"/>
    </row>
    <row r="1257" spans="1:4" ht="24.6" customHeight="1" thickBot="1" x14ac:dyDescent="0.25">
      <c r="A1257" s="911" t="s">
        <v>1102</v>
      </c>
      <c r="B1257" s="912"/>
      <c r="C1257" s="61"/>
      <c r="D1257" s="61"/>
    </row>
    <row r="1258" spans="1:4" ht="24.6" customHeight="1" thickBot="1" x14ac:dyDescent="0.25">
      <c r="A1258" s="62" t="s">
        <v>2129</v>
      </c>
      <c r="B1258" s="63" t="s">
        <v>2130</v>
      </c>
      <c r="C1258" s="61"/>
      <c r="D1258" s="61"/>
    </row>
    <row r="1259" spans="1:4" ht="24.6" customHeight="1" thickBot="1" x14ac:dyDescent="0.25">
      <c r="A1259" s="62" t="s">
        <v>2131</v>
      </c>
      <c r="B1259" s="63" t="s">
        <v>2132</v>
      </c>
      <c r="C1259" s="61"/>
      <c r="D1259" s="61"/>
    </row>
    <row r="1260" spans="1:4" ht="24.6" customHeight="1" thickBot="1" x14ac:dyDescent="0.25">
      <c r="A1260" s="911" t="s">
        <v>1107</v>
      </c>
      <c r="B1260" s="912"/>
      <c r="C1260" s="61"/>
      <c r="D1260" s="61"/>
    </row>
    <row r="1261" spans="1:4" ht="24.6" customHeight="1" thickBot="1" x14ac:dyDescent="0.25">
      <c r="A1261" s="62" t="s">
        <v>2133</v>
      </c>
      <c r="B1261" s="63" t="s">
        <v>2134</v>
      </c>
      <c r="C1261" s="61"/>
      <c r="D1261" s="61"/>
    </row>
    <row r="1262" spans="1:4" ht="24.6" customHeight="1" thickBot="1" x14ac:dyDescent="0.25">
      <c r="A1262" s="62" t="s">
        <v>2135</v>
      </c>
      <c r="B1262" s="63" t="s">
        <v>2136</v>
      </c>
      <c r="C1262" s="61"/>
      <c r="D1262" s="61"/>
    </row>
    <row r="1263" spans="1:4" ht="24.6" customHeight="1" thickBot="1" x14ac:dyDescent="0.25">
      <c r="A1263" s="62" t="s">
        <v>2137</v>
      </c>
      <c r="B1263" s="63" t="s">
        <v>2138</v>
      </c>
      <c r="C1263" s="61"/>
      <c r="D1263" s="61"/>
    </row>
    <row r="1264" spans="1:4" ht="24.6" customHeight="1" thickBot="1" x14ac:dyDescent="0.25">
      <c r="A1264" s="62" t="s">
        <v>2139</v>
      </c>
      <c r="B1264" s="63" t="s">
        <v>2140</v>
      </c>
      <c r="C1264" s="61"/>
      <c r="D1264" s="61"/>
    </row>
    <row r="1265" spans="1:4" ht="24.6" customHeight="1" thickBot="1" x14ac:dyDescent="0.25">
      <c r="A1265" s="62" t="s">
        <v>2141</v>
      </c>
      <c r="B1265" s="63" t="s">
        <v>2142</v>
      </c>
      <c r="C1265" s="61"/>
      <c r="D1265" s="61"/>
    </row>
    <row r="1266" spans="1:4" ht="24.6" customHeight="1" thickBot="1" x14ac:dyDescent="0.25">
      <c r="A1266" s="62" t="s">
        <v>2143</v>
      </c>
      <c r="B1266" s="63" t="s">
        <v>2144</v>
      </c>
      <c r="C1266" s="61"/>
      <c r="D1266" s="61"/>
    </row>
    <row r="1267" spans="1:4" ht="24.6" customHeight="1" thickBot="1" x14ac:dyDescent="0.25">
      <c r="A1267" s="62" t="s">
        <v>2145</v>
      </c>
      <c r="B1267" s="63" t="s">
        <v>2146</v>
      </c>
      <c r="C1267" s="61"/>
      <c r="D1267" s="61"/>
    </row>
    <row r="1268" spans="1:4" ht="24.6" customHeight="1" thickBot="1" x14ac:dyDescent="0.25">
      <c r="A1268" s="62" t="s">
        <v>2147</v>
      </c>
      <c r="B1268" s="63" t="s">
        <v>2148</v>
      </c>
      <c r="C1268" s="61"/>
      <c r="D1268" s="61"/>
    </row>
    <row r="1269" spans="1:4" ht="24.6" customHeight="1" thickBot="1" x14ac:dyDescent="0.25">
      <c r="A1269" s="62" t="s">
        <v>2149</v>
      </c>
      <c r="B1269" s="63" t="s">
        <v>2150</v>
      </c>
      <c r="C1269" s="61"/>
      <c r="D1269" s="61"/>
    </row>
    <row r="1270" spans="1:4" ht="24.6" customHeight="1" thickBot="1" x14ac:dyDescent="0.25">
      <c r="A1270" s="911" t="s">
        <v>2151</v>
      </c>
      <c r="B1270" s="912"/>
      <c r="C1270" s="61"/>
      <c r="D1270" s="61"/>
    </row>
    <row r="1271" spans="1:4" ht="24.6" customHeight="1" thickBot="1" x14ac:dyDescent="0.25">
      <c r="A1271" s="62" t="s">
        <v>2152</v>
      </c>
      <c r="B1271" s="63" t="s">
        <v>1071</v>
      </c>
      <c r="C1271" s="61"/>
      <c r="D1271" s="61"/>
    </row>
    <row r="1272" spans="1:4" ht="24.6" customHeight="1" thickBot="1" x14ac:dyDescent="0.25">
      <c r="A1272" s="62" t="s">
        <v>2153</v>
      </c>
      <c r="B1272" s="63" t="s">
        <v>1075</v>
      </c>
      <c r="C1272" s="61"/>
      <c r="D1272" s="61"/>
    </row>
    <row r="1273" spans="1:4" ht="24.6" customHeight="1" thickBot="1" x14ac:dyDescent="0.25">
      <c r="A1273" s="62" t="s">
        <v>2154</v>
      </c>
      <c r="B1273" s="63" t="s">
        <v>1878</v>
      </c>
      <c r="C1273" s="61"/>
      <c r="D1273" s="61"/>
    </row>
    <row r="1274" spans="1:4" ht="24.6" customHeight="1" thickBot="1" x14ac:dyDescent="0.25">
      <c r="A1274" s="62" t="s">
        <v>2155</v>
      </c>
      <c r="B1274" s="63" t="s">
        <v>1880</v>
      </c>
      <c r="C1274" s="61"/>
      <c r="D1274" s="61"/>
    </row>
    <row r="1275" spans="1:4" ht="24.6" customHeight="1" thickBot="1" x14ac:dyDescent="0.25">
      <c r="A1275" s="62" t="s">
        <v>2156</v>
      </c>
      <c r="B1275" s="63" t="s">
        <v>1083</v>
      </c>
      <c r="C1275" s="61"/>
      <c r="D1275" s="61"/>
    </row>
    <row r="1276" spans="1:4" ht="24.6" customHeight="1" thickBot="1" x14ac:dyDescent="0.25">
      <c r="A1276" s="62" t="s">
        <v>2157</v>
      </c>
      <c r="B1276" s="63" t="s">
        <v>1081</v>
      </c>
      <c r="C1276" s="61"/>
      <c r="D1276" s="61"/>
    </row>
    <row r="1277" spans="1:4" ht="24.6" customHeight="1" thickBot="1" x14ac:dyDescent="0.25">
      <c r="A1277" s="62" t="s">
        <v>2158</v>
      </c>
      <c r="B1277" s="63" t="s">
        <v>2159</v>
      </c>
      <c r="C1277" s="61"/>
      <c r="D1277" s="61"/>
    </row>
    <row r="1278" spans="1:4" ht="24.6" customHeight="1" thickBot="1" x14ac:dyDescent="0.25">
      <c r="A1278" s="62" t="s">
        <v>2160</v>
      </c>
      <c r="B1278" s="63" t="s">
        <v>2161</v>
      </c>
      <c r="C1278" s="61"/>
      <c r="D1278" s="61"/>
    </row>
    <row r="1279" spans="1:4" ht="24.6" customHeight="1" thickBot="1" x14ac:dyDescent="0.25">
      <c r="A1279" s="62" t="s">
        <v>2162</v>
      </c>
      <c r="B1279" s="63" t="s">
        <v>1885</v>
      </c>
      <c r="C1279" s="61"/>
      <c r="D1279" s="61"/>
    </row>
    <row r="1280" spans="1:4" ht="24.6" customHeight="1" thickBot="1" x14ac:dyDescent="0.25">
      <c r="A1280" s="62" t="s">
        <v>2163</v>
      </c>
      <c r="B1280" s="63" t="s">
        <v>2164</v>
      </c>
      <c r="C1280" s="61"/>
      <c r="D1280" s="61"/>
    </row>
    <row r="1281" spans="1:4" ht="24.6" customHeight="1" thickBot="1" x14ac:dyDescent="0.25">
      <c r="A1281" s="62" t="s">
        <v>2165</v>
      </c>
      <c r="B1281" s="63" t="s">
        <v>1376</v>
      </c>
      <c r="C1281" s="61"/>
      <c r="D1281" s="61"/>
    </row>
    <row r="1282" spans="1:4" ht="24.6" customHeight="1" thickBot="1" x14ac:dyDescent="0.25">
      <c r="A1282" s="62" t="s">
        <v>2166</v>
      </c>
      <c r="B1282" s="63" t="s">
        <v>1888</v>
      </c>
      <c r="C1282" s="61"/>
      <c r="D1282" s="61"/>
    </row>
    <row r="1283" spans="1:4" ht="24.6" customHeight="1" thickBot="1" x14ac:dyDescent="0.25">
      <c r="A1283" s="62" t="s">
        <v>2167</v>
      </c>
      <c r="B1283" s="63" t="s">
        <v>1890</v>
      </c>
      <c r="C1283" s="61"/>
      <c r="D1283" s="61"/>
    </row>
    <row r="1284" spans="1:4" ht="24.6" customHeight="1" thickBot="1" x14ac:dyDescent="0.25">
      <c r="A1284" s="62" t="s">
        <v>2168</v>
      </c>
      <c r="B1284" s="63" t="s">
        <v>2169</v>
      </c>
      <c r="C1284" s="61"/>
      <c r="D1284" s="61"/>
    </row>
    <row r="1285" spans="1:4" ht="24.6" customHeight="1" thickBot="1" x14ac:dyDescent="0.25">
      <c r="A1285" s="62" t="s">
        <v>2170</v>
      </c>
      <c r="B1285" s="63" t="s">
        <v>2171</v>
      </c>
      <c r="C1285" s="61"/>
      <c r="D1285" s="61"/>
    </row>
    <row r="1286" spans="1:4" ht="24.6" customHeight="1" thickBot="1" x14ac:dyDescent="0.25">
      <c r="A1286" s="62" t="s">
        <v>2172</v>
      </c>
      <c r="B1286" s="63" t="s">
        <v>2173</v>
      </c>
      <c r="C1286" s="61"/>
      <c r="D1286" s="61"/>
    </row>
    <row r="1287" spans="1:4" ht="24.6" customHeight="1" thickBot="1" x14ac:dyDescent="0.25">
      <c r="A1287" s="62" t="s">
        <v>2174</v>
      </c>
      <c r="B1287" s="63" t="s">
        <v>2175</v>
      </c>
      <c r="C1287" s="61"/>
      <c r="D1287" s="61"/>
    </row>
    <row r="1288" spans="1:4" ht="24.6" customHeight="1" thickBot="1" x14ac:dyDescent="0.25">
      <c r="A1288" s="914" t="s">
        <v>2176</v>
      </c>
      <c r="B1288" s="915"/>
      <c r="C1288" s="61"/>
      <c r="D1288" s="61"/>
    </row>
    <row r="1289" spans="1:4" ht="24.6" customHeight="1" thickBot="1" x14ac:dyDescent="0.25">
      <c r="A1289" s="911" t="s">
        <v>140</v>
      </c>
      <c r="B1289" s="912"/>
      <c r="C1289" s="61"/>
      <c r="D1289" s="61"/>
    </row>
    <row r="1290" spans="1:4" ht="24.6" customHeight="1" thickBot="1" x14ac:dyDescent="0.25">
      <c r="A1290" s="62" t="s">
        <v>2177</v>
      </c>
      <c r="B1290" s="63" t="s">
        <v>1069</v>
      </c>
      <c r="C1290" s="61"/>
      <c r="D1290" s="61"/>
    </row>
    <row r="1291" spans="1:4" ht="24.6" customHeight="1" thickBot="1" x14ac:dyDescent="0.25">
      <c r="A1291" s="62" t="s">
        <v>2178</v>
      </c>
      <c r="B1291" s="63" t="s">
        <v>1071</v>
      </c>
      <c r="C1291" s="61"/>
      <c r="D1291" s="61"/>
    </row>
    <row r="1292" spans="1:4" ht="24.6" customHeight="1" thickBot="1" x14ac:dyDescent="0.25">
      <c r="A1292" s="62" t="s">
        <v>2179</v>
      </c>
      <c r="B1292" s="63" t="s">
        <v>1073</v>
      </c>
      <c r="C1292" s="61"/>
      <c r="D1292" s="61"/>
    </row>
    <row r="1293" spans="1:4" ht="24.6" customHeight="1" thickBot="1" x14ac:dyDescent="0.25">
      <c r="A1293" s="62" t="s">
        <v>2180</v>
      </c>
      <c r="B1293" s="63" t="s">
        <v>1075</v>
      </c>
      <c r="C1293" s="61"/>
      <c r="D1293" s="61"/>
    </row>
    <row r="1294" spans="1:4" ht="24.6" customHeight="1" thickBot="1" x14ac:dyDescent="0.25">
      <c r="A1294" s="62" t="s">
        <v>2181</v>
      </c>
      <c r="B1294" s="63" t="s">
        <v>1369</v>
      </c>
      <c r="C1294" s="61"/>
      <c r="D1294" s="61"/>
    </row>
    <row r="1295" spans="1:4" ht="24.6" customHeight="1" thickBot="1" x14ac:dyDescent="0.25">
      <c r="A1295" s="62" t="s">
        <v>2182</v>
      </c>
      <c r="B1295" s="63" t="s">
        <v>1411</v>
      </c>
      <c r="C1295" s="61"/>
      <c r="D1295" s="61"/>
    </row>
    <row r="1296" spans="1:4" ht="24.6" customHeight="1" thickBot="1" x14ac:dyDescent="0.25">
      <c r="A1296" s="62" t="s">
        <v>2183</v>
      </c>
      <c r="B1296" s="63" t="s">
        <v>1926</v>
      </c>
      <c r="C1296" s="61"/>
      <c r="D1296" s="61"/>
    </row>
    <row r="1297" spans="1:4" ht="24.6" customHeight="1" thickBot="1" x14ac:dyDescent="0.25">
      <c r="A1297" s="62" t="s">
        <v>2184</v>
      </c>
      <c r="B1297" s="63" t="s">
        <v>2185</v>
      </c>
      <c r="C1297" s="61"/>
      <c r="D1297" s="61"/>
    </row>
    <row r="1298" spans="1:4" ht="24.6" customHeight="1" thickBot="1" x14ac:dyDescent="0.25">
      <c r="A1298" s="62" t="s">
        <v>2186</v>
      </c>
      <c r="B1298" s="63" t="s">
        <v>1882</v>
      </c>
      <c r="C1298" s="61"/>
      <c r="D1298" s="61"/>
    </row>
    <row r="1299" spans="1:4" ht="24.6" customHeight="1" thickBot="1" x14ac:dyDescent="0.25">
      <c r="A1299" s="62" t="s">
        <v>2187</v>
      </c>
      <c r="B1299" s="63" t="s">
        <v>1081</v>
      </c>
      <c r="C1299" s="61"/>
      <c r="D1299" s="61"/>
    </row>
    <row r="1300" spans="1:4" ht="24.6" customHeight="1" thickBot="1" x14ac:dyDescent="0.25">
      <c r="A1300" s="62" t="s">
        <v>2188</v>
      </c>
      <c r="B1300" s="63" t="s">
        <v>1688</v>
      </c>
      <c r="C1300" s="61"/>
      <c r="D1300" s="61"/>
    </row>
    <row r="1301" spans="1:4" ht="24.6" customHeight="1" thickBot="1" x14ac:dyDescent="0.25">
      <c r="A1301" s="62" t="s">
        <v>2189</v>
      </c>
      <c r="B1301" s="63" t="s">
        <v>144</v>
      </c>
      <c r="C1301" s="61"/>
      <c r="D1301" s="61"/>
    </row>
    <row r="1302" spans="1:4" ht="24.6" customHeight="1" thickBot="1" x14ac:dyDescent="0.25">
      <c r="A1302" s="911" t="s">
        <v>1091</v>
      </c>
      <c r="B1302" s="912"/>
      <c r="C1302" s="61"/>
      <c r="D1302" s="61"/>
    </row>
    <row r="1303" spans="1:4" ht="24.6" customHeight="1" thickBot="1" x14ac:dyDescent="0.25">
      <c r="A1303" s="62" t="s">
        <v>2190</v>
      </c>
      <c r="B1303" s="63" t="s">
        <v>185</v>
      </c>
      <c r="C1303" s="61"/>
      <c r="D1303" s="61"/>
    </row>
    <row r="1304" spans="1:4" ht="24.6" customHeight="1" thickBot="1" x14ac:dyDescent="0.25">
      <c r="A1304" s="62" t="s">
        <v>2191</v>
      </c>
      <c r="B1304" s="63" t="s">
        <v>1094</v>
      </c>
      <c r="C1304" s="61"/>
      <c r="D1304" s="61"/>
    </row>
    <row r="1305" spans="1:4" ht="24.6" customHeight="1" thickBot="1" x14ac:dyDescent="0.25">
      <c r="A1305" s="62" t="s">
        <v>2192</v>
      </c>
      <c r="B1305" s="63" t="s">
        <v>1096</v>
      </c>
      <c r="C1305" s="61"/>
      <c r="D1305" s="61"/>
    </row>
    <row r="1306" spans="1:4" ht="24.6" customHeight="1" thickBot="1" x14ac:dyDescent="0.25">
      <c r="A1306" s="62" t="s">
        <v>2193</v>
      </c>
      <c r="B1306" s="63" t="s">
        <v>189</v>
      </c>
      <c r="C1306" s="61"/>
      <c r="D1306" s="61"/>
    </row>
    <row r="1307" spans="1:4" ht="24.6" customHeight="1" thickBot="1" x14ac:dyDescent="0.25">
      <c r="A1307" s="62" t="s">
        <v>2194</v>
      </c>
      <c r="B1307" s="63" t="s">
        <v>191</v>
      </c>
      <c r="C1307" s="61"/>
      <c r="D1307" s="61"/>
    </row>
    <row r="1308" spans="1:4" ht="24.6" customHeight="1" thickBot="1" x14ac:dyDescent="0.25">
      <c r="A1308" s="62" t="s">
        <v>2195</v>
      </c>
      <c r="B1308" s="63" t="s">
        <v>193</v>
      </c>
      <c r="C1308" s="61"/>
      <c r="D1308" s="61"/>
    </row>
    <row r="1309" spans="1:4" ht="24.6" customHeight="1" thickBot="1" x14ac:dyDescent="0.25">
      <c r="A1309" s="62" t="s">
        <v>2196</v>
      </c>
      <c r="B1309" s="63" t="s">
        <v>195</v>
      </c>
      <c r="C1309" s="61"/>
      <c r="D1309" s="61"/>
    </row>
    <row r="1310" spans="1:4" ht="24.6" customHeight="1" thickBot="1" x14ac:dyDescent="0.25">
      <c r="A1310" s="62" t="s">
        <v>2197</v>
      </c>
      <c r="B1310" s="63" t="s">
        <v>156</v>
      </c>
      <c r="C1310" s="61"/>
      <c r="D1310" s="61"/>
    </row>
    <row r="1311" spans="1:4" ht="24.6" customHeight="1" thickBot="1" x14ac:dyDescent="0.25">
      <c r="A1311" s="911" t="s">
        <v>197</v>
      </c>
      <c r="B1311" s="912"/>
      <c r="C1311" s="61"/>
      <c r="D1311" s="61"/>
    </row>
    <row r="1312" spans="1:4" ht="24.6" customHeight="1" thickBot="1" x14ac:dyDescent="0.25">
      <c r="A1312" s="62" t="s">
        <v>2198</v>
      </c>
      <c r="B1312" s="63" t="s">
        <v>1253</v>
      </c>
      <c r="C1312" s="61"/>
      <c r="D1312" s="61"/>
    </row>
    <row r="1313" spans="1:4" ht="24.6" customHeight="1" thickBot="1" x14ac:dyDescent="0.25">
      <c r="A1313" s="62" t="s">
        <v>2199</v>
      </c>
      <c r="B1313" s="63" t="s">
        <v>1257</v>
      </c>
      <c r="C1313" s="61"/>
      <c r="D1313" s="61"/>
    </row>
    <row r="1314" spans="1:4" ht="24.6" customHeight="1" thickBot="1" x14ac:dyDescent="0.25">
      <c r="A1314" s="911" t="s">
        <v>1170</v>
      </c>
      <c r="B1314" s="912"/>
      <c r="C1314" s="61"/>
      <c r="D1314" s="61"/>
    </row>
    <row r="1315" spans="1:4" ht="24.6" customHeight="1" thickBot="1" x14ac:dyDescent="0.25">
      <c r="A1315" s="62" t="s">
        <v>2200</v>
      </c>
      <c r="B1315" s="63" t="s">
        <v>2201</v>
      </c>
      <c r="C1315" s="61"/>
      <c r="D1315" s="61"/>
    </row>
    <row r="1316" spans="1:4" ht="24.6" customHeight="1" thickBot="1" x14ac:dyDescent="0.25">
      <c r="A1316" s="62" t="s">
        <v>2202</v>
      </c>
      <c r="B1316" s="63" t="s">
        <v>2203</v>
      </c>
      <c r="C1316" s="61"/>
      <c r="D1316" s="61"/>
    </row>
    <row r="1317" spans="1:4" ht="24.6" customHeight="1" thickBot="1" x14ac:dyDescent="0.25">
      <c r="A1317" s="62" t="s">
        <v>2204</v>
      </c>
      <c r="B1317" s="63" t="s">
        <v>2205</v>
      </c>
      <c r="C1317" s="61"/>
      <c r="D1317" s="61"/>
    </row>
    <row r="1318" spans="1:4" ht="24.6" customHeight="1" thickBot="1" x14ac:dyDescent="0.25">
      <c r="A1318" s="62" t="s">
        <v>2206</v>
      </c>
      <c r="B1318" s="63" t="s">
        <v>2207</v>
      </c>
      <c r="C1318" s="61"/>
      <c r="D1318" s="61"/>
    </row>
    <row r="1319" spans="1:4" ht="24.6" customHeight="1" thickBot="1" x14ac:dyDescent="0.25">
      <c r="A1319" s="62" t="s">
        <v>2208</v>
      </c>
      <c r="B1319" s="63" t="s">
        <v>1713</v>
      </c>
      <c r="C1319" s="61"/>
      <c r="D1319" s="61"/>
    </row>
    <row r="1320" spans="1:4" ht="24.6" customHeight="1" thickBot="1" x14ac:dyDescent="0.25">
      <c r="A1320" s="62" t="s">
        <v>2209</v>
      </c>
      <c r="B1320" s="63" t="s">
        <v>1729</v>
      </c>
      <c r="C1320" s="61"/>
      <c r="D1320" s="61"/>
    </row>
    <row r="1321" spans="1:4" ht="24.6" customHeight="1" thickBot="1" x14ac:dyDescent="0.25">
      <c r="A1321" s="62" t="s">
        <v>2210</v>
      </c>
      <c r="B1321" s="63" t="s">
        <v>2211</v>
      </c>
      <c r="C1321" s="61"/>
      <c r="D1321" s="61"/>
    </row>
    <row r="1322" spans="1:4" ht="24.6" customHeight="1" thickBot="1" x14ac:dyDescent="0.25">
      <c r="A1322" s="62" t="s">
        <v>2212</v>
      </c>
      <c r="B1322" s="63" t="s">
        <v>2213</v>
      </c>
      <c r="C1322" s="61"/>
      <c r="D1322" s="61"/>
    </row>
    <row r="1323" spans="1:4" ht="24.6" customHeight="1" thickBot="1" x14ac:dyDescent="0.25">
      <c r="A1323" s="62" t="s">
        <v>2214</v>
      </c>
      <c r="B1323" s="63" t="s">
        <v>2215</v>
      </c>
      <c r="C1323" s="61"/>
      <c r="D1323" s="61"/>
    </row>
    <row r="1324" spans="1:4" ht="24.6" customHeight="1" thickBot="1" x14ac:dyDescent="0.25">
      <c r="A1324" s="62" t="s">
        <v>2216</v>
      </c>
      <c r="B1324" s="63" t="s">
        <v>2217</v>
      </c>
      <c r="C1324" s="61"/>
      <c r="D1324" s="61"/>
    </row>
    <row r="1325" spans="1:4" ht="24.6" customHeight="1" thickBot="1" x14ac:dyDescent="0.25">
      <c r="A1325" s="911" t="s">
        <v>1850</v>
      </c>
      <c r="B1325" s="912"/>
      <c r="C1325" s="61"/>
      <c r="D1325" s="61"/>
    </row>
    <row r="1326" spans="1:4" ht="24.6" customHeight="1" thickBot="1" x14ac:dyDescent="0.25">
      <c r="A1326" s="62" t="s">
        <v>2218</v>
      </c>
      <c r="B1326" s="63" t="s">
        <v>2219</v>
      </c>
      <c r="C1326" s="61"/>
      <c r="D1326" s="61"/>
    </row>
    <row r="1327" spans="1:4" ht="24.6" customHeight="1" thickBot="1" x14ac:dyDescent="0.25">
      <c r="A1327" s="62" t="s">
        <v>2220</v>
      </c>
      <c r="B1327" s="63" t="s">
        <v>1824</v>
      </c>
      <c r="C1327" s="61"/>
      <c r="D1327" s="61"/>
    </row>
    <row r="1328" spans="1:4" ht="24.6" customHeight="1" thickBot="1" x14ac:dyDescent="0.25">
      <c r="A1328" s="62" t="s">
        <v>2221</v>
      </c>
      <c r="B1328" s="63" t="s">
        <v>2222</v>
      </c>
      <c r="C1328" s="61"/>
      <c r="D1328" s="61"/>
    </row>
    <row r="1329" spans="1:4" ht="24.6" customHeight="1" thickBot="1" x14ac:dyDescent="0.25">
      <c r="A1329" s="62" t="s">
        <v>2223</v>
      </c>
      <c r="B1329" s="63" t="s">
        <v>2224</v>
      </c>
      <c r="C1329" s="61"/>
      <c r="D1329" s="61"/>
    </row>
    <row r="1330" spans="1:4" ht="24.6" customHeight="1" thickBot="1" x14ac:dyDescent="0.25">
      <c r="A1330" s="62" t="s">
        <v>2225</v>
      </c>
      <c r="B1330" s="63" t="s">
        <v>2226</v>
      </c>
      <c r="C1330" s="61"/>
      <c r="D1330" s="61"/>
    </row>
    <row r="1331" spans="1:4" ht="24.6" customHeight="1" thickBot="1" x14ac:dyDescent="0.25">
      <c r="A1331" s="62" t="s">
        <v>2227</v>
      </c>
      <c r="B1331" s="63" t="s">
        <v>2094</v>
      </c>
      <c r="C1331" s="61"/>
      <c r="D1331" s="61"/>
    </row>
    <row r="1332" spans="1:4" ht="24.6" customHeight="1" thickBot="1" x14ac:dyDescent="0.25">
      <c r="A1332" s="62" t="s">
        <v>2228</v>
      </c>
      <c r="B1332" s="63" t="s">
        <v>2229</v>
      </c>
      <c r="C1332" s="61"/>
      <c r="D1332" s="61"/>
    </row>
    <row r="1333" spans="1:4" ht="24.6" customHeight="1" thickBot="1" x14ac:dyDescent="0.25">
      <c r="A1333" s="62" t="s">
        <v>2230</v>
      </c>
      <c r="B1333" s="63" t="s">
        <v>2231</v>
      </c>
      <c r="C1333" s="61"/>
      <c r="D1333" s="61"/>
    </row>
    <row r="1334" spans="1:4" ht="24.6" customHeight="1" thickBot="1" x14ac:dyDescent="0.25">
      <c r="A1334" s="62" t="s">
        <v>2232</v>
      </c>
      <c r="B1334" s="63" t="s">
        <v>2085</v>
      </c>
      <c r="C1334" s="61"/>
      <c r="D1334" s="61"/>
    </row>
    <row r="1335" spans="1:4" ht="24.6" customHeight="1" thickBot="1" x14ac:dyDescent="0.25">
      <c r="A1335" s="62" t="s">
        <v>2233</v>
      </c>
      <c r="B1335" s="63" t="s">
        <v>2234</v>
      </c>
      <c r="C1335" s="61"/>
      <c r="D1335" s="61"/>
    </row>
    <row r="1336" spans="1:4" ht="24.6" customHeight="1" thickBot="1" x14ac:dyDescent="0.25">
      <c r="A1336" s="62" t="s">
        <v>2235</v>
      </c>
      <c r="B1336" s="63" t="s">
        <v>2236</v>
      </c>
      <c r="C1336" s="61"/>
      <c r="D1336" s="61"/>
    </row>
    <row r="1337" spans="1:4" ht="24.6" customHeight="1" thickBot="1" x14ac:dyDescent="0.25">
      <c r="A1337" s="62" t="s">
        <v>2237</v>
      </c>
      <c r="B1337" s="63" t="s">
        <v>2238</v>
      </c>
      <c r="C1337" s="61"/>
      <c r="D1337" s="61"/>
    </row>
    <row r="1338" spans="1:4" ht="24.6" customHeight="1" thickBot="1" x14ac:dyDescent="0.25">
      <c r="A1338" s="62" t="s">
        <v>2239</v>
      </c>
      <c r="B1338" s="63" t="s">
        <v>2240</v>
      </c>
      <c r="C1338" s="61"/>
      <c r="D1338" s="61"/>
    </row>
    <row r="1339" spans="1:4" ht="24.6" customHeight="1" thickBot="1" x14ac:dyDescent="0.25">
      <c r="A1339" s="62" t="s">
        <v>2241</v>
      </c>
      <c r="B1339" s="63" t="s">
        <v>2242</v>
      </c>
      <c r="C1339" s="61"/>
      <c r="D1339" s="61"/>
    </row>
    <row r="1340" spans="1:4" ht="24.6" customHeight="1" thickBot="1" x14ac:dyDescent="0.25">
      <c r="A1340" s="62" t="s">
        <v>2243</v>
      </c>
      <c r="B1340" s="63" t="s">
        <v>2244</v>
      </c>
      <c r="C1340" s="61"/>
      <c r="D1340" s="61"/>
    </row>
    <row r="1341" spans="1:4" ht="24.6" customHeight="1" thickBot="1" x14ac:dyDescent="0.25">
      <c r="A1341" s="62" t="s">
        <v>2245</v>
      </c>
      <c r="B1341" s="63" t="s">
        <v>2246</v>
      </c>
      <c r="C1341" s="61"/>
      <c r="D1341" s="61"/>
    </row>
    <row r="1342" spans="1:4" ht="24.6" customHeight="1" thickBot="1" x14ac:dyDescent="0.25">
      <c r="A1342" s="62" t="s">
        <v>2247</v>
      </c>
      <c r="B1342" s="63" t="s">
        <v>1713</v>
      </c>
      <c r="C1342" s="61"/>
      <c r="D1342" s="61"/>
    </row>
    <row r="1343" spans="1:4" ht="24.6" customHeight="1" thickBot="1" x14ac:dyDescent="0.25">
      <c r="A1343" s="62" t="s">
        <v>2248</v>
      </c>
      <c r="B1343" s="63" t="s">
        <v>2249</v>
      </c>
      <c r="C1343" s="61"/>
      <c r="D1343" s="61"/>
    </row>
    <row r="1344" spans="1:4" ht="24.6" customHeight="1" thickBot="1" x14ac:dyDescent="0.25">
      <c r="A1344" s="62" t="s">
        <v>2250</v>
      </c>
      <c r="B1344" s="63" t="s">
        <v>2251</v>
      </c>
      <c r="C1344" s="61"/>
      <c r="D1344" s="61"/>
    </row>
    <row r="1345" spans="1:4" ht="24.6" customHeight="1" thickBot="1" x14ac:dyDescent="0.25">
      <c r="A1345" s="911" t="s">
        <v>2252</v>
      </c>
      <c r="B1345" s="912"/>
      <c r="C1345" s="61"/>
      <c r="D1345" s="61"/>
    </row>
    <row r="1346" spans="1:4" ht="24.6" customHeight="1" thickBot="1" x14ac:dyDescent="0.25">
      <c r="A1346" s="62" t="s">
        <v>2253</v>
      </c>
      <c r="B1346" s="63" t="s">
        <v>2254</v>
      </c>
      <c r="C1346" s="61"/>
      <c r="D1346" s="61"/>
    </row>
    <row r="1347" spans="1:4" ht="24.6" customHeight="1" thickBot="1" x14ac:dyDescent="0.25">
      <c r="A1347" s="62" t="s">
        <v>2255</v>
      </c>
      <c r="B1347" s="63" t="s">
        <v>2256</v>
      </c>
      <c r="C1347" s="61"/>
      <c r="D1347" s="61"/>
    </row>
    <row r="1348" spans="1:4" ht="24.6" customHeight="1" thickBot="1" x14ac:dyDescent="0.25">
      <c r="A1348" s="62" t="s">
        <v>2257</v>
      </c>
      <c r="B1348" s="63" t="s">
        <v>2258</v>
      </c>
      <c r="C1348" s="61"/>
      <c r="D1348" s="61"/>
    </row>
    <row r="1349" spans="1:4" ht="24.6" customHeight="1" thickBot="1" x14ac:dyDescent="0.25">
      <c r="A1349" s="62" t="s">
        <v>2259</v>
      </c>
      <c r="B1349" s="63" t="s">
        <v>2260</v>
      </c>
      <c r="C1349" s="61"/>
      <c r="D1349" s="61"/>
    </row>
    <row r="1350" spans="1:4" ht="24.6" customHeight="1" thickBot="1" x14ac:dyDescent="0.25">
      <c r="A1350" s="62" t="s">
        <v>2261</v>
      </c>
      <c r="B1350" s="63" t="s">
        <v>2262</v>
      </c>
      <c r="C1350" s="61"/>
      <c r="D1350" s="61"/>
    </row>
    <row r="1351" spans="1:4" ht="24.6" customHeight="1" thickBot="1" x14ac:dyDescent="0.25">
      <c r="A1351" s="62" t="s">
        <v>2263</v>
      </c>
      <c r="B1351" s="63" t="s">
        <v>2264</v>
      </c>
      <c r="C1351" s="61"/>
      <c r="D1351" s="61"/>
    </row>
    <row r="1352" spans="1:4" ht="24.6" customHeight="1" thickBot="1" x14ac:dyDescent="0.25">
      <c r="A1352" s="911" t="s">
        <v>1102</v>
      </c>
      <c r="B1352" s="912"/>
      <c r="C1352" s="61"/>
      <c r="D1352" s="61"/>
    </row>
    <row r="1353" spans="1:4" ht="24.6" customHeight="1" thickBot="1" x14ac:dyDescent="0.25">
      <c r="A1353" s="62" t="s">
        <v>2265</v>
      </c>
      <c r="B1353" s="63" t="s">
        <v>2266</v>
      </c>
      <c r="C1353" s="61"/>
      <c r="D1353" s="61"/>
    </row>
    <row r="1354" spans="1:4" ht="24.6" customHeight="1" thickBot="1" x14ac:dyDescent="0.25">
      <c r="A1354" s="62" t="s">
        <v>2267</v>
      </c>
      <c r="B1354" s="63" t="s">
        <v>2268</v>
      </c>
      <c r="C1354" s="61"/>
      <c r="D1354" s="61"/>
    </row>
    <row r="1355" spans="1:4" ht="24.6" customHeight="1" thickBot="1" x14ac:dyDescent="0.25">
      <c r="A1355" s="911" t="s">
        <v>1107</v>
      </c>
      <c r="B1355" s="912"/>
      <c r="C1355" s="61"/>
      <c r="D1355" s="61"/>
    </row>
    <row r="1356" spans="1:4" ht="24.6" customHeight="1" thickBot="1" x14ac:dyDescent="0.25">
      <c r="A1356" s="62" t="s">
        <v>2269</v>
      </c>
      <c r="B1356" s="63" t="s">
        <v>1869</v>
      </c>
      <c r="C1356" s="61"/>
      <c r="D1356" s="61"/>
    </row>
    <row r="1357" spans="1:4" ht="24.6" customHeight="1" thickBot="1" x14ac:dyDescent="0.25">
      <c r="A1357" s="62" t="s">
        <v>2270</v>
      </c>
      <c r="B1357" s="63" t="s">
        <v>1673</v>
      </c>
      <c r="C1357" s="61"/>
      <c r="D1357" s="61"/>
    </row>
    <row r="1358" spans="1:4" ht="24.6" customHeight="1" thickBot="1" x14ac:dyDescent="0.25">
      <c r="A1358" s="911" t="s">
        <v>2271</v>
      </c>
      <c r="B1358" s="912"/>
      <c r="C1358" s="61"/>
      <c r="D1358" s="61"/>
    </row>
    <row r="1359" spans="1:4" ht="24.6" customHeight="1" thickBot="1" x14ac:dyDescent="0.25">
      <c r="A1359" s="62" t="s">
        <v>2272</v>
      </c>
      <c r="B1359" s="63" t="s">
        <v>1071</v>
      </c>
      <c r="C1359" s="61"/>
      <c r="D1359" s="61"/>
    </row>
    <row r="1360" spans="1:4" ht="24.6" customHeight="1" thickBot="1" x14ac:dyDescent="0.25">
      <c r="A1360" s="62" t="s">
        <v>2273</v>
      </c>
      <c r="B1360" s="63" t="s">
        <v>1924</v>
      </c>
      <c r="C1360" s="61"/>
      <c r="D1360" s="61"/>
    </row>
    <row r="1361" spans="1:4" ht="24.6" customHeight="1" thickBot="1" x14ac:dyDescent="0.25">
      <c r="A1361" s="62" t="s">
        <v>2274</v>
      </c>
      <c r="B1361" s="63" t="s">
        <v>1878</v>
      </c>
      <c r="C1361" s="61"/>
      <c r="D1361" s="61"/>
    </row>
    <row r="1362" spans="1:4" ht="24.6" customHeight="1" thickBot="1" x14ac:dyDescent="0.25">
      <c r="A1362" s="62" t="s">
        <v>2275</v>
      </c>
      <c r="B1362" s="63" t="s">
        <v>1880</v>
      </c>
      <c r="C1362" s="61"/>
      <c r="D1362" s="61"/>
    </row>
    <row r="1363" spans="1:4" ht="24.6" customHeight="1" thickBot="1" x14ac:dyDescent="0.25">
      <c r="A1363" s="62" t="s">
        <v>2276</v>
      </c>
      <c r="B1363" s="63" t="s">
        <v>1882</v>
      </c>
      <c r="C1363" s="61"/>
      <c r="D1363" s="61"/>
    </row>
    <row r="1364" spans="1:4" ht="24.6" customHeight="1" thickBot="1" x14ac:dyDescent="0.25">
      <c r="A1364" s="62" t="s">
        <v>2277</v>
      </c>
      <c r="B1364" s="63" t="s">
        <v>1081</v>
      </c>
      <c r="C1364" s="61"/>
      <c r="D1364" s="61"/>
    </row>
    <row r="1365" spans="1:4" ht="24.6" customHeight="1" thickBot="1" x14ac:dyDescent="0.25">
      <c r="A1365" s="62" t="s">
        <v>2278</v>
      </c>
      <c r="B1365" s="63" t="s">
        <v>1885</v>
      </c>
      <c r="C1365" s="61"/>
      <c r="D1365" s="61"/>
    </row>
    <row r="1366" spans="1:4" ht="24.6" customHeight="1" thickBot="1" x14ac:dyDescent="0.25">
      <c r="A1366" s="62" t="s">
        <v>2279</v>
      </c>
      <c r="B1366" s="63" t="s">
        <v>1376</v>
      </c>
      <c r="C1366" s="61"/>
      <c r="D1366" s="61"/>
    </row>
    <row r="1367" spans="1:4" ht="24.6" customHeight="1" thickBot="1" x14ac:dyDescent="0.25">
      <c r="A1367" s="62" t="s">
        <v>2280</v>
      </c>
      <c r="B1367" s="63" t="s">
        <v>1888</v>
      </c>
      <c r="C1367" s="61"/>
      <c r="D1367" s="61"/>
    </row>
    <row r="1368" spans="1:4" ht="24.6" customHeight="1" thickBot="1" x14ac:dyDescent="0.25">
      <c r="A1368" s="62" t="s">
        <v>2281</v>
      </c>
      <c r="B1368" s="63" t="s">
        <v>1890</v>
      </c>
      <c r="C1368" s="61"/>
      <c r="D1368" s="61"/>
    </row>
    <row r="1369" spans="1:4" ht="24.6" customHeight="1" thickBot="1" x14ac:dyDescent="0.25">
      <c r="A1369" s="914" t="s">
        <v>2282</v>
      </c>
      <c r="B1369" s="915"/>
      <c r="C1369" s="61"/>
      <c r="D1369" s="61"/>
    </row>
    <row r="1370" spans="1:4" ht="24.6" customHeight="1" thickBot="1" x14ac:dyDescent="0.25">
      <c r="A1370" s="911" t="s">
        <v>140</v>
      </c>
      <c r="B1370" s="912"/>
      <c r="C1370" s="61"/>
      <c r="D1370" s="61"/>
    </row>
    <row r="1371" spans="1:4" ht="24.6" customHeight="1" thickBot="1" x14ac:dyDescent="0.25">
      <c r="A1371" s="62" t="s">
        <v>2283</v>
      </c>
      <c r="B1371" s="63" t="s">
        <v>2284</v>
      </c>
      <c r="C1371" s="61"/>
      <c r="D1371" s="61"/>
    </row>
    <row r="1372" spans="1:4" ht="24.6" customHeight="1" thickBot="1" x14ac:dyDescent="0.25">
      <c r="A1372" s="62" t="s">
        <v>2285</v>
      </c>
      <c r="B1372" s="63" t="s">
        <v>1924</v>
      </c>
      <c r="C1372" s="61"/>
      <c r="D1372" s="61"/>
    </row>
    <row r="1373" spans="1:4" ht="24.6" customHeight="1" thickBot="1" x14ac:dyDescent="0.25">
      <c r="A1373" s="62" t="s">
        <v>2286</v>
      </c>
      <c r="B1373" s="63" t="s">
        <v>1679</v>
      </c>
      <c r="C1373" s="61"/>
      <c r="D1373" s="61"/>
    </row>
    <row r="1374" spans="1:4" ht="24.6" customHeight="1" thickBot="1" x14ac:dyDescent="0.25">
      <c r="A1374" s="62" t="s">
        <v>2287</v>
      </c>
      <c r="B1374" s="63" t="s">
        <v>1081</v>
      </c>
      <c r="C1374" s="61"/>
      <c r="D1374" s="61"/>
    </row>
    <row r="1375" spans="1:4" ht="24.6" customHeight="1" thickBot="1" x14ac:dyDescent="0.25">
      <c r="A1375" s="62" t="s">
        <v>2288</v>
      </c>
      <c r="B1375" s="63" t="s">
        <v>1882</v>
      </c>
      <c r="C1375" s="61"/>
      <c r="D1375" s="61"/>
    </row>
    <row r="1376" spans="1:4" ht="24.6" customHeight="1" thickBot="1" x14ac:dyDescent="0.25">
      <c r="A1376" s="62" t="s">
        <v>2289</v>
      </c>
      <c r="B1376" s="63" t="s">
        <v>1369</v>
      </c>
      <c r="C1376" s="61"/>
      <c r="D1376" s="61"/>
    </row>
    <row r="1377" spans="1:4" ht="24.6" customHeight="1" thickBot="1" x14ac:dyDescent="0.25">
      <c r="A1377" s="62" t="s">
        <v>2290</v>
      </c>
      <c r="B1377" s="63" t="s">
        <v>1411</v>
      </c>
      <c r="C1377" s="61"/>
      <c r="D1377" s="61"/>
    </row>
    <row r="1378" spans="1:4" ht="24.6" customHeight="1" thickBot="1" x14ac:dyDescent="0.25">
      <c r="A1378" s="62" t="s">
        <v>2291</v>
      </c>
      <c r="B1378" s="63" t="s">
        <v>1930</v>
      </c>
      <c r="C1378" s="61"/>
      <c r="D1378" s="61"/>
    </row>
    <row r="1379" spans="1:4" ht="24.6" customHeight="1" thickBot="1" x14ac:dyDescent="0.25">
      <c r="A1379" s="62" t="s">
        <v>2292</v>
      </c>
      <c r="B1379" s="63" t="s">
        <v>1888</v>
      </c>
      <c r="C1379" s="61"/>
      <c r="D1379" s="61"/>
    </row>
    <row r="1380" spans="1:4" ht="24.6" customHeight="1" thickBot="1" x14ac:dyDescent="0.25">
      <c r="A1380" s="62" t="s">
        <v>2293</v>
      </c>
      <c r="B1380" s="63" t="s">
        <v>2294</v>
      </c>
      <c r="C1380" s="61"/>
      <c r="D1380" s="61"/>
    </row>
    <row r="1381" spans="1:4" ht="24.6" customHeight="1" thickBot="1" x14ac:dyDescent="0.25">
      <c r="A1381" s="911" t="s">
        <v>1091</v>
      </c>
      <c r="B1381" s="912"/>
      <c r="C1381" s="61"/>
      <c r="D1381" s="61"/>
    </row>
    <row r="1382" spans="1:4" ht="24.6" customHeight="1" thickBot="1" x14ac:dyDescent="0.25">
      <c r="A1382" s="62" t="s">
        <v>2295</v>
      </c>
      <c r="B1382" s="63" t="s">
        <v>185</v>
      </c>
      <c r="C1382" s="61"/>
      <c r="D1382" s="61"/>
    </row>
    <row r="1383" spans="1:4" ht="24.6" customHeight="1" thickBot="1" x14ac:dyDescent="0.25">
      <c r="A1383" s="62" t="s">
        <v>2296</v>
      </c>
      <c r="B1383" s="63" t="s">
        <v>1094</v>
      </c>
      <c r="C1383" s="61"/>
      <c r="D1383" s="61"/>
    </row>
    <row r="1384" spans="1:4" ht="24.6" customHeight="1" thickBot="1" x14ac:dyDescent="0.25">
      <c r="A1384" s="62" t="s">
        <v>2297</v>
      </c>
      <c r="B1384" s="63" t="s">
        <v>1096</v>
      </c>
      <c r="C1384" s="61"/>
      <c r="D1384" s="61"/>
    </row>
    <row r="1385" spans="1:4" ht="24.6" customHeight="1" thickBot="1" x14ac:dyDescent="0.25">
      <c r="A1385" s="62" t="s">
        <v>2298</v>
      </c>
      <c r="B1385" s="63" t="s">
        <v>189</v>
      </c>
      <c r="C1385" s="61"/>
      <c r="D1385" s="61"/>
    </row>
    <row r="1386" spans="1:4" ht="24.6" customHeight="1" thickBot="1" x14ac:dyDescent="0.25">
      <c r="A1386" s="62" t="s">
        <v>2299</v>
      </c>
      <c r="B1386" s="63" t="s">
        <v>191</v>
      </c>
      <c r="C1386" s="61"/>
      <c r="D1386" s="61"/>
    </row>
    <row r="1387" spans="1:4" ht="24.6" customHeight="1" thickBot="1" x14ac:dyDescent="0.25">
      <c r="A1387" s="62" t="s">
        <v>2300</v>
      </c>
      <c r="B1387" s="63" t="s">
        <v>193</v>
      </c>
      <c r="C1387" s="61"/>
      <c r="D1387" s="61"/>
    </row>
    <row r="1388" spans="1:4" ht="24.6" customHeight="1" thickBot="1" x14ac:dyDescent="0.25">
      <c r="A1388" s="62" t="s">
        <v>2301</v>
      </c>
      <c r="B1388" s="63" t="s">
        <v>195</v>
      </c>
      <c r="C1388" s="61"/>
      <c r="D1388" s="61"/>
    </row>
    <row r="1389" spans="1:4" ht="24.6" customHeight="1" thickBot="1" x14ac:dyDescent="0.25">
      <c r="A1389" s="62" t="s">
        <v>2302</v>
      </c>
      <c r="B1389" s="63" t="s">
        <v>156</v>
      </c>
      <c r="C1389" s="61"/>
      <c r="D1389" s="61"/>
    </row>
    <row r="1390" spans="1:4" ht="24.6" customHeight="1" thickBot="1" x14ac:dyDescent="0.25">
      <c r="A1390" s="911" t="s">
        <v>2303</v>
      </c>
      <c r="B1390" s="912"/>
      <c r="C1390" s="61"/>
      <c r="D1390" s="61"/>
    </row>
    <row r="1391" spans="1:4" ht="24.6" customHeight="1" thickBot="1" x14ac:dyDescent="0.25">
      <c r="A1391" s="62" t="s">
        <v>2304</v>
      </c>
      <c r="B1391" s="63" t="s">
        <v>1871</v>
      </c>
      <c r="C1391" s="61"/>
      <c r="D1391" s="61"/>
    </row>
    <row r="1392" spans="1:4" ht="24.6" customHeight="1" thickBot="1" x14ac:dyDescent="0.25">
      <c r="A1392" s="62" t="s">
        <v>2305</v>
      </c>
      <c r="B1392" s="63" t="s">
        <v>2306</v>
      </c>
      <c r="C1392" s="61"/>
      <c r="D1392" s="61"/>
    </row>
    <row r="1393" spans="1:4" ht="24.6" customHeight="1" thickBot="1" x14ac:dyDescent="0.25">
      <c r="A1393" s="911" t="s">
        <v>2307</v>
      </c>
      <c r="B1393" s="912"/>
      <c r="C1393" s="61"/>
      <c r="D1393" s="61"/>
    </row>
    <row r="1394" spans="1:4" ht="24.6" customHeight="1" thickBot="1" x14ac:dyDescent="0.25">
      <c r="A1394" s="62" t="s">
        <v>2308</v>
      </c>
      <c r="B1394" s="63" t="s">
        <v>1990</v>
      </c>
      <c r="C1394" s="61"/>
      <c r="D1394" s="61"/>
    </row>
    <row r="1395" spans="1:4" ht="24.6" customHeight="1" thickBot="1" x14ac:dyDescent="0.25">
      <c r="A1395" s="62" t="s">
        <v>2309</v>
      </c>
      <c r="B1395" s="63" t="s">
        <v>2310</v>
      </c>
      <c r="C1395" s="61"/>
      <c r="D1395" s="61"/>
    </row>
    <row r="1396" spans="1:4" ht="24.6" customHeight="1" thickBot="1" x14ac:dyDescent="0.25">
      <c r="A1396" s="62" t="s">
        <v>2311</v>
      </c>
      <c r="B1396" s="63" t="s">
        <v>2312</v>
      </c>
      <c r="C1396" s="61"/>
      <c r="D1396" s="61"/>
    </row>
    <row r="1397" spans="1:4" ht="24.6" customHeight="1" thickBot="1" x14ac:dyDescent="0.25">
      <c r="A1397" s="62" t="s">
        <v>2313</v>
      </c>
      <c r="B1397" s="63" t="s">
        <v>2314</v>
      </c>
      <c r="C1397" s="61"/>
      <c r="D1397" s="61"/>
    </row>
    <row r="1398" spans="1:4" ht="24.6" customHeight="1" thickBot="1" x14ac:dyDescent="0.25">
      <c r="A1398" s="62" t="s">
        <v>2315</v>
      </c>
      <c r="B1398" s="63" t="s">
        <v>2316</v>
      </c>
      <c r="C1398" s="61"/>
      <c r="D1398" s="61"/>
    </row>
    <row r="1399" spans="1:4" ht="24.6" customHeight="1" thickBot="1" x14ac:dyDescent="0.25">
      <c r="A1399" s="62" t="s">
        <v>2317</v>
      </c>
      <c r="B1399" s="63" t="s">
        <v>2318</v>
      </c>
      <c r="C1399" s="61"/>
      <c r="D1399" s="61"/>
    </row>
    <row r="1400" spans="1:4" ht="24.6" customHeight="1" thickBot="1" x14ac:dyDescent="0.25">
      <c r="A1400" s="62" t="s">
        <v>2319</v>
      </c>
      <c r="B1400" s="63" t="s">
        <v>2320</v>
      </c>
      <c r="C1400" s="61"/>
      <c r="D1400" s="61"/>
    </row>
    <row r="1401" spans="1:4" ht="24.6" customHeight="1" thickBot="1" x14ac:dyDescent="0.25">
      <c r="A1401" s="62" t="s">
        <v>2321</v>
      </c>
      <c r="B1401" s="63" t="s">
        <v>2322</v>
      </c>
      <c r="C1401" s="61"/>
      <c r="D1401" s="61"/>
    </row>
    <row r="1402" spans="1:4" ht="24.6" customHeight="1" thickBot="1" x14ac:dyDescent="0.25">
      <c r="A1402" s="62" t="s">
        <v>2323</v>
      </c>
      <c r="B1402" s="63" t="s">
        <v>2324</v>
      </c>
      <c r="C1402" s="61"/>
      <c r="D1402" s="61"/>
    </row>
    <row r="1403" spans="1:4" ht="24.6" customHeight="1" thickBot="1" x14ac:dyDescent="0.25">
      <c r="A1403" s="62" t="s">
        <v>2325</v>
      </c>
      <c r="B1403" s="63" t="s">
        <v>2326</v>
      </c>
      <c r="C1403" s="61"/>
      <c r="D1403" s="61"/>
    </row>
    <row r="1404" spans="1:4" ht="24.6" customHeight="1" thickBot="1" x14ac:dyDescent="0.25">
      <c r="A1404" s="911" t="s">
        <v>2327</v>
      </c>
      <c r="B1404" s="912"/>
      <c r="C1404" s="61"/>
      <c r="D1404" s="61"/>
    </row>
    <row r="1405" spans="1:4" ht="24.6" customHeight="1" thickBot="1" x14ac:dyDescent="0.25">
      <c r="A1405" s="62" t="s">
        <v>2328</v>
      </c>
      <c r="B1405" s="63" t="s">
        <v>2329</v>
      </c>
      <c r="C1405" s="61"/>
      <c r="D1405" s="61"/>
    </row>
    <row r="1406" spans="1:4" ht="24.6" customHeight="1" thickBot="1" x14ac:dyDescent="0.25">
      <c r="A1406" s="62" t="s">
        <v>2330</v>
      </c>
      <c r="B1406" s="63" t="s">
        <v>2331</v>
      </c>
      <c r="C1406" s="61"/>
      <c r="D1406" s="61"/>
    </row>
    <row r="1407" spans="1:4" ht="24.6" customHeight="1" thickBot="1" x14ac:dyDescent="0.25">
      <c r="A1407" s="62" t="s">
        <v>2332</v>
      </c>
      <c r="B1407" s="63" t="s">
        <v>2333</v>
      </c>
      <c r="C1407" s="61"/>
      <c r="D1407" s="61"/>
    </row>
    <row r="1408" spans="1:4" ht="24.6" customHeight="1" thickBot="1" x14ac:dyDescent="0.25">
      <c r="A1408" s="62" t="s">
        <v>2334</v>
      </c>
      <c r="B1408" s="63" t="s">
        <v>2335</v>
      </c>
      <c r="C1408" s="61"/>
      <c r="D1408" s="61"/>
    </row>
    <row r="1409" spans="1:4" ht="24.6" customHeight="1" thickBot="1" x14ac:dyDescent="0.25">
      <c r="A1409" s="62" t="s">
        <v>2336</v>
      </c>
      <c r="B1409" s="63" t="s">
        <v>2337</v>
      </c>
      <c r="C1409" s="61"/>
      <c r="D1409" s="61"/>
    </row>
    <row r="1410" spans="1:4" ht="24.6" customHeight="1" thickBot="1" x14ac:dyDescent="0.25">
      <c r="A1410" s="62" t="s">
        <v>2338</v>
      </c>
      <c r="B1410" s="63" t="s">
        <v>2339</v>
      </c>
      <c r="C1410" s="61"/>
      <c r="D1410" s="61"/>
    </row>
    <row r="1411" spans="1:4" ht="24.6" customHeight="1" thickBot="1" x14ac:dyDescent="0.25">
      <c r="A1411" s="62" t="s">
        <v>2340</v>
      </c>
      <c r="B1411" s="63" t="s">
        <v>1790</v>
      </c>
      <c r="C1411" s="61"/>
      <c r="D1411" s="61"/>
    </row>
    <row r="1412" spans="1:4" ht="24.6" customHeight="1" thickBot="1" x14ac:dyDescent="0.25">
      <c r="A1412" s="62" t="s">
        <v>2341</v>
      </c>
      <c r="B1412" s="63" t="s">
        <v>1800</v>
      </c>
      <c r="C1412" s="61"/>
      <c r="D1412" s="61"/>
    </row>
    <row r="1413" spans="1:4" ht="24.6" customHeight="1" thickBot="1" x14ac:dyDescent="0.25">
      <c r="A1413" s="62" t="s">
        <v>2342</v>
      </c>
      <c r="B1413" s="63" t="s">
        <v>1830</v>
      </c>
      <c r="C1413" s="61"/>
      <c r="D1413" s="61"/>
    </row>
    <row r="1414" spans="1:4" ht="24.6" customHeight="1" thickBot="1" x14ac:dyDescent="0.25">
      <c r="A1414" s="62" t="s">
        <v>2343</v>
      </c>
      <c r="B1414" s="63" t="s">
        <v>2344</v>
      </c>
      <c r="C1414" s="61"/>
      <c r="D1414" s="61"/>
    </row>
    <row r="1415" spans="1:4" ht="24.6" customHeight="1" thickBot="1" x14ac:dyDescent="0.25">
      <c r="A1415" s="62" t="s">
        <v>2345</v>
      </c>
      <c r="B1415" s="63" t="s">
        <v>1994</v>
      </c>
      <c r="C1415" s="61"/>
      <c r="D1415" s="61"/>
    </row>
    <row r="1416" spans="1:4" ht="24.6" customHeight="1" thickBot="1" x14ac:dyDescent="0.25">
      <c r="A1416" s="62" t="s">
        <v>2346</v>
      </c>
      <c r="B1416" s="63" t="s">
        <v>2347</v>
      </c>
      <c r="C1416" s="61"/>
      <c r="D1416" s="61"/>
    </row>
    <row r="1417" spans="1:4" ht="24.6" customHeight="1" thickBot="1" x14ac:dyDescent="0.25">
      <c r="A1417" s="62" t="s">
        <v>2348</v>
      </c>
      <c r="B1417" s="63" t="s">
        <v>1973</v>
      </c>
      <c r="C1417" s="61"/>
      <c r="D1417" s="61"/>
    </row>
    <row r="1418" spans="1:4" ht="24.6" customHeight="1" thickBot="1" x14ac:dyDescent="0.25">
      <c r="A1418" s="62" t="s">
        <v>2349</v>
      </c>
      <c r="B1418" s="63" t="s">
        <v>2215</v>
      </c>
      <c r="C1418" s="61"/>
      <c r="D1418" s="61"/>
    </row>
    <row r="1419" spans="1:4" ht="24.6" customHeight="1" thickBot="1" x14ac:dyDescent="0.25">
      <c r="A1419" s="62" t="s">
        <v>2350</v>
      </c>
      <c r="B1419" s="63" t="s">
        <v>2211</v>
      </c>
      <c r="C1419" s="61"/>
      <c r="D1419" s="61"/>
    </row>
    <row r="1420" spans="1:4" ht="24.6" customHeight="1" thickBot="1" x14ac:dyDescent="0.25">
      <c r="A1420" s="911" t="s">
        <v>2351</v>
      </c>
      <c r="B1420" s="912"/>
      <c r="C1420" s="61"/>
      <c r="D1420" s="61"/>
    </row>
    <row r="1421" spans="1:4" ht="24.6" customHeight="1" thickBot="1" x14ac:dyDescent="0.25">
      <c r="A1421" s="62" t="s">
        <v>2352</v>
      </c>
      <c r="B1421" s="63" t="s">
        <v>2353</v>
      </c>
      <c r="C1421" s="61"/>
      <c r="D1421" s="61"/>
    </row>
    <row r="1422" spans="1:4" ht="24.6" customHeight="1" thickBot="1" x14ac:dyDescent="0.25">
      <c r="A1422" s="62" t="s">
        <v>2354</v>
      </c>
      <c r="B1422" s="63" t="s">
        <v>2355</v>
      </c>
      <c r="C1422" s="61"/>
      <c r="D1422" s="61"/>
    </row>
    <row r="1423" spans="1:4" ht="24.6" customHeight="1" thickBot="1" x14ac:dyDescent="0.25">
      <c r="A1423" s="62" t="s">
        <v>2356</v>
      </c>
      <c r="B1423" s="63" t="s">
        <v>2357</v>
      </c>
      <c r="C1423" s="61"/>
      <c r="D1423" s="61"/>
    </row>
    <row r="1424" spans="1:4" ht="24.6" customHeight="1" thickBot="1" x14ac:dyDescent="0.25">
      <c r="A1424" s="911" t="s">
        <v>2358</v>
      </c>
      <c r="B1424" s="912"/>
      <c r="C1424" s="61"/>
      <c r="D1424" s="61"/>
    </row>
    <row r="1425" spans="1:4" ht="24.6" customHeight="1" thickBot="1" x14ac:dyDescent="0.25">
      <c r="A1425" s="62" t="s">
        <v>2359</v>
      </c>
      <c r="B1425" s="63" t="s">
        <v>2360</v>
      </c>
      <c r="C1425" s="61"/>
      <c r="D1425" s="61"/>
    </row>
    <row r="1426" spans="1:4" ht="24.6" customHeight="1" thickBot="1" x14ac:dyDescent="0.25">
      <c r="A1426" s="62" t="s">
        <v>2361</v>
      </c>
      <c r="B1426" s="63" t="s">
        <v>2362</v>
      </c>
      <c r="C1426" s="61"/>
      <c r="D1426" s="61"/>
    </row>
    <row r="1427" spans="1:4" ht="24.6" customHeight="1" thickBot="1" x14ac:dyDescent="0.25">
      <c r="A1427" s="62" t="s">
        <v>2363</v>
      </c>
      <c r="B1427" s="63" t="s">
        <v>2364</v>
      </c>
      <c r="C1427" s="61"/>
      <c r="D1427" s="61"/>
    </row>
    <row r="1428" spans="1:4" ht="24.6" customHeight="1" thickBot="1" x14ac:dyDescent="0.25">
      <c r="A1428" s="62" t="s">
        <v>2365</v>
      </c>
      <c r="B1428" s="63" t="s">
        <v>2366</v>
      </c>
      <c r="C1428" s="61"/>
      <c r="D1428" s="61"/>
    </row>
    <row r="1429" spans="1:4" ht="24.6" customHeight="1" thickBot="1" x14ac:dyDescent="0.25">
      <c r="A1429" s="62" t="s">
        <v>2367</v>
      </c>
      <c r="B1429" s="63" t="s">
        <v>2368</v>
      </c>
      <c r="C1429" s="61"/>
      <c r="D1429" s="61"/>
    </row>
    <row r="1430" spans="1:4" ht="24.6" customHeight="1" thickBot="1" x14ac:dyDescent="0.25">
      <c r="A1430" s="911" t="s">
        <v>2369</v>
      </c>
      <c r="B1430" s="912"/>
      <c r="C1430" s="61"/>
      <c r="D1430" s="61"/>
    </row>
    <row r="1431" spans="1:4" ht="24.6" customHeight="1" thickBot="1" x14ac:dyDescent="0.25">
      <c r="A1431" s="62" t="s">
        <v>2370</v>
      </c>
      <c r="B1431" s="63" t="s">
        <v>2371</v>
      </c>
      <c r="C1431" s="61"/>
      <c r="D1431" s="61"/>
    </row>
    <row r="1432" spans="1:4" ht="24.6" customHeight="1" thickBot="1" x14ac:dyDescent="0.25">
      <c r="A1432" s="62" t="s">
        <v>2372</v>
      </c>
      <c r="B1432" s="63" t="s">
        <v>2373</v>
      </c>
      <c r="C1432" s="61"/>
      <c r="D1432" s="61"/>
    </row>
    <row r="1433" spans="1:4" ht="24.6" customHeight="1" thickBot="1" x14ac:dyDescent="0.25">
      <c r="A1433" s="62" t="s">
        <v>2374</v>
      </c>
      <c r="B1433" s="63" t="s">
        <v>2375</v>
      </c>
      <c r="C1433" s="61"/>
      <c r="D1433" s="61"/>
    </row>
    <row r="1434" spans="1:4" ht="24.6" customHeight="1" thickBot="1" x14ac:dyDescent="0.25">
      <c r="A1434" s="62" t="s">
        <v>2376</v>
      </c>
      <c r="B1434" s="63" t="s">
        <v>2377</v>
      </c>
      <c r="C1434" s="61"/>
      <c r="D1434" s="61"/>
    </row>
    <row r="1435" spans="1:4" ht="24.6" customHeight="1" thickBot="1" x14ac:dyDescent="0.25">
      <c r="A1435" s="62" t="s">
        <v>2378</v>
      </c>
      <c r="B1435" s="63" t="s">
        <v>2379</v>
      </c>
      <c r="C1435" s="61"/>
      <c r="D1435" s="61"/>
    </row>
    <row r="1436" spans="1:4" ht="24.6" customHeight="1" thickBot="1" x14ac:dyDescent="0.25">
      <c r="A1436" s="62" t="s">
        <v>2380</v>
      </c>
      <c r="B1436" s="63" t="s">
        <v>2126</v>
      </c>
      <c r="C1436" s="61"/>
      <c r="D1436" s="61"/>
    </row>
    <row r="1437" spans="1:4" ht="24.6" customHeight="1" thickBot="1" x14ac:dyDescent="0.25">
      <c r="A1437" s="914" t="s">
        <v>2381</v>
      </c>
      <c r="B1437" s="915"/>
      <c r="C1437" s="61"/>
      <c r="D1437" s="61"/>
    </row>
    <row r="1438" spans="1:4" ht="24.6" customHeight="1" thickBot="1" x14ac:dyDescent="0.25">
      <c r="A1438" s="911" t="s">
        <v>140</v>
      </c>
      <c r="B1438" s="912"/>
      <c r="C1438" s="61"/>
      <c r="D1438" s="61"/>
    </row>
    <row r="1439" spans="1:4" ht="24.6" customHeight="1" thickBot="1" x14ac:dyDescent="0.25">
      <c r="A1439" s="62" t="s">
        <v>2382</v>
      </c>
      <c r="B1439" s="63" t="s">
        <v>1069</v>
      </c>
      <c r="C1439" s="61"/>
      <c r="D1439" s="61"/>
    </row>
    <row r="1440" spans="1:4" ht="24.6" customHeight="1" thickBot="1" x14ac:dyDescent="0.25">
      <c r="A1440" s="62" t="s">
        <v>2383</v>
      </c>
      <c r="B1440" s="63" t="s">
        <v>1071</v>
      </c>
      <c r="C1440" s="61"/>
      <c r="D1440" s="61"/>
    </row>
    <row r="1441" spans="1:4" ht="24.6" customHeight="1" thickBot="1" x14ac:dyDescent="0.25">
      <c r="A1441" s="62" t="s">
        <v>2384</v>
      </c>
      <c r="B1441" s="63" t="s">
        <v>1073</v>
      </c>
      <c r="C1441" s="61"/>
      <c r="D1441" s="61"/>
    </row>
    <row r="1442" spans="1:4" ht="24.6" customHeight="1" thickBot="1" x14ac:dyDescent="0.25">
      <c r="A1442" s="62" t="s">
        <v>2385</v>
      </c>
      <c r="B1442" s="63" t="s">
        <v>1075</v>
      </c>
      <c r="C1442" s="61"/>
      <c r="D1442" s="61"/>
    </row>
    <row r="1443" spans="1:4" ht="24.6" customHeight="1" thickBot="1" x14ac:dyDescent="0.25">
      <c r="A1443" s="62" t="s">
        <v>2386</v>
      </c>
      <c r="B1443" s="63" t="s">
        <v>1369</v>
      </c>
      <c r="C1443" s="61"/>
      <c r="D1443" s="61"/>
    </row>
    <row r="1444" spans="1:4" ht="24.6" customHeight="1" thickBot="1" x14ac:dyDescent="0.25">
      <c r="A1444" s="62" t="s">
        <v>2387</v>
      </c>
      <c r="B1444" s="63" t="s">
        <v>1411</v>
      </c>
      <c r="C1444" s="61"/>
      <c r="D1444" s="61"/>
    </row>
    <row r="1445" spans="1:4" ht="24.6" customHeight="1" thickBot="1" x14ac:dyDescent="0.25">
      <c r="A1445" s="62" t="s">
        <v>2388</v>
      </c>
      <c r="B1445" s="63" t="s">
        <v>1081</v>
      </c>
      <c r="C1445" s="61"/>
      <c r="D1445" s="61"/>
    </row>
    <row r="1446" spans="1:4" ht="24.6" customHeight="1" thickBot="1" x14ac:dyDescent="0.25">
      <c r="A1446" s="62" t="s">
        <v>2389</v>
      </c>
      <c r="B1446" s="63" t="s">
        <v>1083</v>
      </c>
      <c r="C1446" s="61"/>
      <c r="D1446" s="61"/>
    </row>
    <row r="1447" spans="1:4" ht="24.6" customHeight="1" thickBot="1" x14ac:dyDescent="0.25">
      <c r="A1447" s="62" t="s">
        <v>2390</v>
      </c>
      <c r="B1447" s="63" t="s">
        <v>1688</v>
      </c>
      <c r="C1447" s="61"/>
      <c r="D1447" s="61"/>
    </row>
    <row r="1448" spans="1:4" ht="24.6" customHeight="1" thickBot="1" x14ac:dyDescent="0.25">
      <c r="A1448" s="62" t="s">
        <v>2391</v>
      </c>
      <c r="B1448" s="63" t="s">
        <v>1088</v>
      </c>
      <c r="C1448" s="61"/>
      <c r="D1448" s="61"/>
    </row>
    <row r="1449" spans="1:4" ht="24.6" customHeight="1" thickBot="1" x14ac:dyDescent="0.25">
      <c r="A1449" s="62" t="s">
        <v>2392</v>
      </c>
      <c r="B1449" s="63" t="s">
        <v>1172</v>
      </c>
      <c r="C1449" s="61"/>
      <c r="D1449" s="61"/>
    </row>
    <row r="1450" spans="1:4" ht="24.6" customHeight="1" thickBot="1" x14ac:dyDescent="0.25">
      <c r="A1450" s="62" t="s">
        <v>2393</v>
      </c>
      <c r="B1450" s="63" t="s">
        <v>1086</v>
      </c>
      <c r="C1450" s="61"/>
      <c r="D1450" s="61"/>
    </row>
    <row r="1451" spans="1:4" ht="24.6" customHeight="1" thickBot="1" x14ac:dyDescent="0.25">
      <c r="A1451" s="911" t="s">
        <v>1091</v>
      </c>
      <c r="B1451" s="912"/>
      <c r="C1451" s="61"/>
      <c r="D1451" s="61"/>
    </row>
    <row r="1452" spans="1:4" ht="24.6" customHeight="1" thickBot="1" x14ac:dyDescent="0.25">
      <c r="A1452" s="62" t="s">
        <v>2394</v>
      </c>
      <c r="B1452" s="63" t="s">
        <v>185</v>
      </c>
      <c r="C1452" s="61"/>
      <c r="D1452" s="61"/>
    </row>
    <row r="1453" spans="1:4" ht="24.6" customHeight="1" thickBot="1" x14ac:dyDescent="0.25">
      <c r="A1453" s="62" t="s">
        <v>2395</v>
      </c>
      <c r="B1453" s="63" t="s">
        <v>1094</v>
      </c>
      <c r="C1453" s="61"/>
      <c r="D1453" s="61"/>
    </row>
    <row r="1454" spans="1:4" ht="24.6" customHeight="1" thickBot="1" x14ac:dyDescent="0.25">
      <c r="A1454" s="62" t="s">
        <v>2396</v>
      </c>
      <c r="B1454" s="63" t="s">
        <v>1096</v>
      </c>
      <c r="C1454" s="61"/>
      <c r="D1454" s="61"/>
    </row>
    <row r="1455" spans="1:4" ht="24.6" customHeight="1" thickBot="1" x14ac:dyDescent="0.25">
      <c r="A1455" s="62" t="s">
        <v>2397</v>
      </c>
      <c r="B1455" s="63" t="s">
        <v>189</v>
      </c>
      <c r="C1455" s="61"/>
      <c r="D1455" s="61"/>
    </row>
    <row r="1456" spans="1:4" ht="24.6" customHeight="1" thickBot="1" x14ac:dyDescent="0.25">
      <c r="A1456" s="62" t="s">
        <v>2398</v>
      </c>
      <c r="B1456" s="63" t="s">
        <v>191</v>
      </c>
      <c r="C1456" s="61"/>
      <c r="D1456" s="61"/>
    </row>
    <row r="1457" spans="1:4" ht="24.6" customHeight="1" thickBot="1" x14ac:dyDescent="0.25">
      <c r="A1457" s="62" t="s">
        <v>2399</v>
      </c>
      <c r="B1457" s="63" t="s">
        <v>193</v>
      </c>
      <c r="C1457" s="61"/>
      <c r="D1457" s="61"/>
    </row>
    <row r="1458" spans="1:4" ht="24.6" customHeight="1" thickBot="1" x14ac:dyDescent="0.25">
      <c r="A1458" s="62" t="s">
        <v>2400</v>
      </c>
      <c r="B1458" s="63" t="s">
        <v>195</v>
      </c>
      <c r="C1458" s="61"/>
      <c r="D1458" s="61"/>
    </row>
    <row r="1459" spans="1:4" ht="24.6" customHeight="1" thickBot="1" x14ac:dyDescent="0.25">
      <c r="A1459" s="911" t="s">
        <v>1170</v>
      </c>
      <c r="B1459" s="913"/>
      <c r="C1459" s="61"/>
      <c r="D1459" s="61"/>
    </row>
    <row r="1460" spans="1:4" ht="24.6" customHeight="1" thickBot="1" x14ac:dyDescent="0.25">
      <c r="A1460" s="62" t="s">
        <v>2401</v>
      </c>
      <c r="B1460" s="63" t="s">
        <v>2402</v>
      </c>
      <c r="C1460" s="61"/>
      <c r="D1460" s="61"/>
    </row>
    <row r="1461" spans="1:4" ht="24.6" customHeight="1" thickBot="1" x14ac:dyDescent="0.25">
      <c r="A1461" s="62" t="s">
        <v>2403</v>
      </c>
      <c r="B1461" s="63" t="s">
        <v>1727</v>
      </c>
      <c r="C1461" s="61"/>
      <c r="D1461" s="61"/>
    </row>
    <row r="1462" spans="1:4" ht="24.6" customHeight="1" thickBot="1" x14ac:dyDescent="0.25">
      <c r="A1462" s="62" t="s">
        <v>2404</v>
      </c>
      <c r="B1462" s="63" t="s">
        <v>2405</v>
      </c>
      <c r="C1462" s="61"/>
      <c r="D1462" s="61"/>
    </row>
    <row r="1463" spans="1:4" ht="24.6" customHeight="1" thickBot="1" x14ac:dyDescent="0.25">
      <c r="A1463" s="911" t="s">
        <v>1212</v>
      </c>
      <c r="B1463" s="912"/>
      <c r="C1463" s="61"/>
      <c r="D1463" s="61"/>
    </row>
    <row r="1464" spans="1:4" ht="24.6" customHeight="1" thickBot="1" x14ac:dyDescent="0.25">
      <c r="A1464" s="62" t="s">
        <v>2406</v>
      </c>
      <c r="B1464" s="63" t="s">
        <v>1704</v>
      </c>
      <c r="C1464" s="61"/>
      <c r="D1464" s="61"/>
    </row>
    <row r="1465" spans="1:4" ht="24.6" customHeight="1" thickBot="1" x14ac:dyDescent="0.25">
      <c r="A1465" s="911" t="s">
        <v>1173</v>
      </c>
      <c r="B1465" s="912"/>
      <c r="C1465" s="61"/>
      <c r="D1465" s="61"/>
    </row>
    <row r="1466" spans="1:4" ht="24.6" customHeight="1" thickBot="1" x14ac:dyDescent="0.25">
      <c r="A1466" s="62" t="s">
        <v>2407</v>
      </c>
      <c r="B1466" s="63" t="s">
        <v>2408</v>
      </c>
      <c r="C1466" s="61"/>
      <c r="D1466" s="61"/>
    </row>
    <row r="1467" spans="1:4" ht="24.6" customHeight="1" thickBot="1" x14ac:dyDescent="0.25">
      <c r="A1467" s="62" t="s">
        <v>2409</v>
      </c>
      <c r="B1467" s="63" t="s">
        <v>2410</v>
      </c>
      <c r="C1467" s="61"/>
      <c r="D1467" s="61"/>
    </row>
    <row r="1468" spans="1:4" ht="24.6" customHeight="1" thickBot="1" x14ac:dyDescent="0.25">
      <c r="A1468" s="62" t="s">
        <v>2411</v>
      </c>
      <c r="B1468" s="63" t="s">
        <v>2412</v>
      </c>
      <c r="C1468" s="61"/>
      <c r="D1468" s="61"/>
    </row>
    <row r="1469" spans="1:4" ht="24.6" customHeight="1" thickBot="1" x14ac:dyDescent="0.25">
      <c r="A1469" s="62" t="s">
        <v>2413</v>
      </c>
      <c r="B1469" s="63" t="s">
        <v>2414</v>
      </c>
      <c r="C1469" s="61"/>
      <c r="D1469" s="61"/>
    </row>
    <row r="1470" spans="1:4" ht="24.6" customHeight="1" thickBot="1" x14ac:dyDescent="0.25">
      <c r="A1470" s="62" t="s">
        <v>2415</v>
      </c>
      <c r="B1470" s="63" t="s">
        <v>2416</v>
      </c>
      <c r="C1470" s="61"/>
      <c r="D1470" s="61"/>
    </row>
    <row r="1471" spans="1:4" ht="24.6" customHeight="1" thickBot="1" x14ac:dyDescent="0.25">
      <c r="A1471" s="62" t="s">
        <v>2417</v>
      </c>
      <c r="B1471" s="63" t="s">
        <v>2418</v>
      </c>
      <c r="C1471" s="61"/>
      <c r="D1471" s="61"/>
    </row>
    <row r="1472" spans="1:4" ht="24.6" customHeight="1" thickBot="1" x14ac:dyDescent="0.25">
      <c r="A1472" s="62" t="s">
        <v>2419</v>
      </c>
      <c r="B1472" s="63" t="s">
        <v>2420</v>
      </c>
      <c r="C1472" s="61"/>
      <c r="D1472" s="61"/>
    </row>
    <row r="1473" spans="1:4" ht="24.6" customHeight="1" thickBot="1" x14ac:dyDescent="0.25">
      <c r="A1473" s="62" t="s">
        <v>2421</v>
      </c>
      <c r="B1473" s="63" t="s">
        <v>2422</v>
      </c>
      <c r="C1473" s="61"/>
      <c r="D1473" s="61"/>
    </row>
    <row r="1474" spans="1:4" ht="31.15" customHeight="1" thickBot="1" x14ac:dyDescent="0.25">
      <c r="A1474" s="62" t="s">
        <v>2423</v>
      </c>
      <c r="B1474" s="63" t="s">
        <v>2424</v>
      </c>
      <c r="C1474" s="61"/>
      <c r="D1474" s="61"/>
    </row>
    <row r="1475" spans="1:4" ht="24.6" customHeight="1" thickBot="1" x14ac:dyDescent="0.25">
      <c r="A1475" s="62" t="s">
        <v>2425</v>
      </c>
      <c r="B1475" s="63" t="s">
        <v>2426</v>
      </c>
      <c r="C1475" s="61"/>
      <c r="D1475" s="61"/>
    </row>
    <row r="1476" spans="1:4" ht="35.450000000000003" customHeight="1" thickBot="1" x14ac:dyDescent="0.25">
      <c r="A1476" s="911" t="s">
        <v>1102</v>
      </c>
      <c r="B1476" s="912"/>
      <c r="C1476" s="61"/>
      <c r="D1476" s="61"/>
    </row>
    <row r="1477" spans="1:4" ht="24.6" customHeight="1" thickBot="1" x14ac:dyDescent="0.25">
      <c r="A1477" s="62" t="s">
        <v>2427</v>
      </c>
      <c r="B1477" s="63" t="s">
        <v>2428</v>
      </c>
      <c r="C1477" s="61"/>
      <c r="D1477" s="61"/>
    </row>
    <row r="1478" spans="1:4" ht="24.6" customHeight="1" thickBot="1" x14ac:dyDescent="0.25">
      <c r="A1478" s="62" t="s">
        <v>2429</v>
      </c>
      <c r="B1478" s="63" t="s">
        <v>2268</v>
      </c>
      <c r="C1478" s="61"/>
      <c r="D1478" s="61"/>
    </row>
    <row r="1479" spans="1:4" ht="24.6" customHeight="1" thickBot="1" x14ac:dyDescent="0.25">
      <c r="A1479" s="911" t="s">
        <v>1107</v>
      </c>
      <c r="B1479" s="912"/>
      <c r="C1479" s="61"/>
      <c r="D1479" s="61"/>
    </row>
    <row r="1480" spans="1:4" ht="24.6" customHeight="1" thickBot="1" x14ac:dyDescent="0.25">
      <c r="A1480" s="62" t="s">
        <v>2430</v>
      </c>
      <c r="B1480" s="63" t="s">
        <v>1871</v>
      </c>
      <c r="C1480" s="61"/>
      <c r="D1480" s="61"/>
    </row>
    <row r="1481" spans="1:4" ht="24.6" customHeight="1" thickBot="1" x14ac:dyDescent="0.25">
      <c r="A1481" s="62" t="s">
        <v>2431</v>
      </c>
      <c r="B1481" s="63" t="s">
        <v>1673</v>
      </c>
      <c r="C1481" s="61"/>
      <c r="D1481" s="61"/>
    </row>
    <row r="1482" spans="1:4" ht="24.6" customHeight="1" thickBot="1" x14ac:dyDescent="0.25">
      <c r="A1482" s="914" t="s">
        <v>2432</v>
      </c>
      <c r="B1482" s="915"/>
      <c r="C1482" s="61"/>
      <c r="D1482" s="61"/>
    </row>
    <row r="1483" spans="1:4" ht="24.6" customHeight="1" thickBot="1" x14ac:dyDescent="0.25">
      <c r="A1483" s="911" t="s">
        <v>140</v>
      </c>
      <c r="B1483" s="912"/>
      <c r="C1483" s="61"/>
      <c r="D1483" s="61"/>
    </row>
    <row r="1484" spans="1:4" ht="24.6" customHeight="1" thickBot="1" x14ac:dyDescent="0.25">
      <c r="A1484" s="62" t="s">
        <v>2433</v>
      </c>
      <c r="B1484" s="63" t="s">
        <v>1069</v>
      </c>
      <c r="C1484" s="61"/>
      <c r="D1484" s="61"/>
    </row>
    <row r="1485" spans="1:4" ht="24.6" customHeight="1" thickBot="1" x14ac:dyDescent="0.25">
      <c r="A1485" s="62" t="s">
        <v>2434</v>
      </c>
      <c r="B1485" s="63" t="s">
        <v>1071</v>
      </c>
      <c r="C1485" s="61"/>
      <c r="D1485" s="61"/>
    </row>
    <row r="1486" spans="1:4" ht="24.6" customHeight="1" thickBot="1" x14ac:dyDescent="0.25">
      <c r="A1486" s="62" t="s">
        <v>2435</v>
      </c>
      <c r="B1486" s="63" t="s">
        <v>1073</v>
      </c>
      <c r="C1486" s="61"/>
      <c r="D1486" s="61"/>
    </row>
    <row r="1487" spans="1:4" ht="24.6" customHeight="1" thickBot="1" x14ac:dyDescent="0.25">
      <c r="A1487" s="62" t="s">
        <v>2436</v>
      </c>
      <c r="B1487" s="63" t="s">
        <v>1075</v>
      </c>
      <c r="C1487" s="61"/>
      <c r="D1487" s="61"/>
    </row>
    <row r="1488" spans="1:4" ht="24.6" customHeight="1" thickBot="1" x14ac:dyDescent="0.25">
      <c r="A1488" s="62" t="s">
        <v>2437</v>
      </c>
      <c r="B1488" s="63" t="s">
        <v>1369</v>
      </c>
      <c r="C1488" s="61"/>
      <c r="D1488" s="61"/>
    </row>
    <row r="1489" spans="1:4" ht="24.6" customHeight="1" thickBot="1" x14ac:dyDescent="0.25">
      <c r="A1489" s="62" t="s">
        <v>2438</v>
      </c>
      <c r="B1489" s="63" t="s">
        <v>1411</v>
      </c>
      <c r="C1489" s="61"/>
      <c r="D1489" s="61"/>
    </row>
    <row r="1490" spans="1:4" ht="24.6" customHeight="1" thickBot="1" x14ac:dyDescent="0.25">
      <c r="A1490" s="62" t="s">
        <v>2439</v>
      </c>
      <c r="B1490" s="63" t="s">
        <v>1081</v>
      </c>
      <c r="C1490" s="61"/>
      <c r="D1490" s="61"/>
    </row>
    <row r="1491" spans="1:4" ht="24.6" customHeight="1" thickBot="1" x14ac:dyDescent="0.25">
      <c r="A1491" s="62" t="s">
        <v>2440</v>
      </c>
      <c r="B1491" s="63" t="s">
        <v>1083</v>
      </c>
      <c r="C1491" s="61"/>
      <c r="D1491" s="61"/>
    </row>
    <row r="1492" spans="1:4" ht="24.6" customHeight="1" thickBot="1" x14ac:dyDescent="0.25">
      <c r="A1492" s="62" t="s">
        <v>2441</v>
      </c>
      <c r="B1492" s="63" t="s">
        <v>1688</v>
      </c>
      <c r="C1492" s="61"/>
      <c r="D1492" s="61"/>
    </row>
    <row r="1493" spans="1:4" ht="24.6" customHeight="1" thickBot="1" x14ac:dyDescent="0.25">
      <c r="A1493" s="62" t="s">
        <v>2442</v>
      </c>
      <c r="B1493" s="63" t="s">
        <v>1172</v>
      </c>
      <c r="C1493" s="61"/>
      <c r="D1493" s="61"/>
    </row>
    <row r="1494" spans="1:4" ht="24.6" customHeight="1" thickBot="1" x14ac:dyDescent="0.25">
      <c r="A1494" s="62" t="s">
        <v>2443</v>
      </c>
      <c r="B1494" s="63" t="s">
        <v>1275</v>
      </c>
      <c r="C1494" s="61"/>
      <c r="D1494" s="61"/>
    </row>
    <row r="1495" spans="1:4" ht="24.6" customHeight="1" thickBot="1" x14ac:dyDescent="0.25">
      <c r="A1495" s="62" t="s">
        <v>2444</v>
      </c>
      <c r="B1495" s="63" t="s">
        <v>1086</v>
      </c>
      <c r="C1495" s="61"/>
      <c r="D1495" s="61"/>
    </row>
    <row r="1496" spans="1:4" ht="24.6" customHeight="1" thickBot="1" x14ac:dyDescent="0.25">
      <c r="A1496" s="911" t="s">
        <v>1091</v>
      </c>
      <c r="B1496" s="912"/>
      <c r="C1496" s="61"/>
      <c r="D1496" s="61"/>
    </row>
    <row r="1497" spans="1:4" ht="24.6" customHeight="1" thickBot="1" x14ac:dyDescent="0.25">
      <c r="A1497" s="62" t="s">
        <v>2445</v>
      </c>
      <c r="B1497" s="63" t="s">
        <v>185</v>
      </c>
      <c r="C1497" s="61"/>
      <c r="D1497" s="61"/>
    </row>
    <row r="1498" spans="1:4" ht="24.6" customHeight="1" thickBot="1" x14ac:dyDescent="0.25">
      <c r="A1498" s="62" t="s">
        <v>2446</v>
      </c>
      <c r="B1498" s="63" t="s">
        <v>1094</v>
      </c>
      <c r="C1498" s="61"/>
      <c r="D1498" s="61"/>
    </row>
    <row r="1499" spans="1:4" ht="24.6" customHeight="1" thickBot="1" x14ac:dyDescent="0.25">
      <c r="A1499" s="62" t="s">
        <v>2447</v>
      </c>
      <c r="B1499" s="63" t="s">
        <v>1096</v>
      </c>
      <c r="C1499" s="61"/>
      <c r="D1499" s="61"/>
    </row>
    <row r="1500" spans="1:4" ht="24.6" customHeight="1" thickBot="1" x14ac:dyDescent="0.25">
      <c r="A1500" s="62" t="s">
        <v>2448</v>
      </c>
      <c r="B1500" s="63" t="s">
        <v>189</v>
      </c>
      <c r="C1500" s="61"/>
      <c r="D1500" s="61"/>
    </row>
    <row r="1501" spans="1:4" ht="24.6" customHeight="1" thickBot="1" x14ac:dyDescent="0.25">
      <c r="A1501" s="62" t="s">
        <v>2449</v>
      </c>
      <c r="B1501" s="63" t="s">
        <v>191</v>
      </c>
      <c r="C1501" s="61"/>
      <c r="D1501" s="61"/>
    </row>
    <row r="1502" spans="1:4" ht="24.6" customHeight="1" thickBot="1" x14ac:dyDescent="0.25">
      <c r="A1502" s="62" t="s">
        <v>2450</v>
      </c>
      <c r="B1502" s="63" t="s">
        <v>193</v>
      </c>
      <c r="C1502" s="61"/>
      <c r="D1502" s="61"/>
    </row>
    <row r="1503" spans="1:4" ht="24.6" customHeight="1" thickBot="1" x14ac:dyDescent="0.25">
      <c r="A1503" s="62" t="s">
        <v>2451</v>
      </c>
      <c r="B1503" s="63" t="s">
        <v>195</v>
      </c>
      <c r="C1503" s="61"/>
      <c r="D1503" s="61"/>
    </row>
    <row r="1504" spans="1:4" ht="24.6" customHeight="1" thickBot="1" x14ac:dyDescent="0.25">
      <c r="A1504" s="62" t="s">
        <v>2452</v>
      </c>
      <c r="B1504" s="63" t="s">
        <v>156</v>
      </c>
      <c r="C1504" s="61"/>
      <c r="D1504" s="61"/>
    </row>
    <row r="1505" spans="1:4" ht="24.6" customHeight="1" thickBot="1" x14ac:dyDescent="0.25">
      <c r="A1505" s="911" t="s">
        <v>197</v>
      </c>
      <c r="B1505" s="912"/>
      <c r="C1505" s="61"/>
      <c r="D1505" s="61"/>
    </row>
    <row r="1506" spans="1:4" ht="24.6" customHeight="1" thickBot="1" x14ac:dyDescent="0.25">
      <c r="A1506" s="62" t="s">
        <v>2453</v>
      </c>
      <c r="B1506" s="63" t="s">
        <v>2454</v>
      </c>
      <c r="C1506" s="61"/>
      <c r="D1506" s="61"/>
    </row>
    <row r="1507" spans="1:4" ht="24.6" customHeight="1" thickBot="1" x14ac:dyDescent="0.25">
      <c r="A1507" s="911" t="s">
        <v>2455</v>
      </c>
      <c r="B1507" s="912"/>
      <c r="C1507" s="61"/>
      <c r="D1507" s="61"/>
    </row>
    <row r="1508" spans="1:4" ht="24.6" customHeight="1" thickBot="1" x14ac:dyDescent="0.25">
      <c r="A1508" s="62" t="s">
        <v>2456</v>
      </c>
      <c r="B1508" s="63" t="s">
        <v>2457</v>
      </c>
      <c r="C1508" s="61"/>
      <c r="D1508" s="61"/>
    </row>
    <row r="1509" spans="1:4" ht="24.6" customHeight="1" thickBot="1" x14ac:dyDescent="0.25">
      <c r="A1509" s="911" t="s">
        <v>1107</v>
      </c>
      <c r="B1509" s="912"/>
      <c r="C1509" s="61"/>
      <c r="D1509" s="61"/>
    </row>
    <row r="1510" spans="1:4" ht="24.6" customHeight="1" thickBot="1" x14ac:dyDescent="0.25">
      <c r="A1510" s="62" t="s">
        <v>2458</v>
      </c>
      <c r="B1510" s="63" t="s">
        <v>1673</v>
      </c>
      <c r="C1510" s="61"/>
      <c r="D1510" s="61"/>
    </row>
    <row r="1511" spans="1:4" ht="24.6" customHeight="1" thickBot="1" x14ac:dyDescent="0.25">
      <c r="A1511" s="914" t="s">
        <v>2459</v>
      </c>
      <c r="B1511" s="915"/>
      <c r="C1511" s="61"/>
      <c r="D1511" s="61"/>
    </row>
    <row r="1512" spans="1:4" ht="40.15" customHeight="1" thickBot="1" x14ac:dyDescent="0.25">
      <c r="A1512" s="62" t="s">
        <v>2460</v>
      </c>
      <c r="B1512" s="63" t="s">
        <v>1253</v>
      </c>
      <c r="C1512" s="61"/>
      <c r="D1512" s="61"/>
    </row>
    <row r="1513" spans="1:4" ht="24.6" customHeight="1" thickBot="1" x14ac:dyDescent="0.25">
      <c r="A1513" s="62" t="s">
        <v>2461</v>
      </c>
      <c r="B1513" s="63" t="s">
        <v>2462</v>
      </c>
      <c r="C1513" s="61"/>
      <c r="D1513" s="61"/>
    </row>
    <row r="1514" spans="1:4" ht="24.6" customHeight="1" thickBot="1" x14ac:dyDescent="0.25">
      <c r="A1514" s="62" t="s">
        <v>2463</v>
      </c>
      <c r="B1514" s="63" t="s">
        <v>2464</v>
      </c>
      <c r="C1514" s="61"/>
      <c r="D1514" s="61"/>
    </row>
    <row r="1515" spans="1:4" ht="24.6" customHeight="1" thickBot="1" x14ac:dyDescent="0.25">
      <c r="A1515" s="914" t="s">
        <v>2465</v>
      </c>
      <c r="B1515" s="915"/>
      <c r="C1515" s="61"/>
      <c r="D1515" s="61"/>
    </row>
    <row r="1516" spans="1:4" ht="24.6" customHeight="1" thickBot="1" x14ac:dyDescent="0.25">
      <c r="A1516" s="914" t="s">
        <v>2466</v>
      </c>
      <c r="B1516" s="915"/>
      <c r="C1516" s="61"/>
      <c r="D1516" s="61"/>
    </row>
    <row r="1517" spans="1:4" ht="24.6" customHeight="1" thickBot="1" x14ac:dyDescent="0.25">
      <c r="A1517" s="911" t="s">
        <v>140</v>
      </c>
      <c r="B1517" s="912"/>
      <c r="C1517" s="61"/>
      <c r="D1517" s="61"/>
    </row>
    <row r="1518" spans="1:4" ht="24.6" customHeight="1" thickBot="1" x14ac:dyDescent="0.25">
      <c r="A1518" s="62" t="s">
        <v>2467</v>
      </c>
      <c r="B1518" s="63" t="s">
        <v>2468</v>
      </c>
      <c r="C1518" s="61"/>
      <c r="D1518" s="61"/>
    </row>
    <row r="1519" spans="1:4" ht="24.6" customHeight="1" thickBot="1" x14ac:dyDescent="0.25">
      <c r="A1519" s="62" t="s">
        <v>2469</v>
      </c>
      <c r="B1519" s="63" t="s">
        <v>2470</v>
      </c>
      <c r="C1519" s="61"/>
      <c r="D1519" s="61"/>
    </row>
    <row r="1520" spans="1:4" ht="24.6" customHeight="1" thickBot="1" x14ac:dyDescent="0.25">
      <c r="A1520" s="62" t="s">
        <v>2471</v>
      </c>
      <c r="B1520" s="63" t="s">
        <v>2472</v>
      </c>
      <c r="C1520" s="61"/>
      <c r="D1520" s="61"/>
    </row>
    <row r="1521" spans="1:4" ht="24.6" customHeight="1" thickBot="1" x14ac:dyDescent="0.25">
      <c r="A1521" s="62" t="s">
        <v>2473</v>
      </c>
      <c r="B1521" s="63" t="s">
        <v>2474</v>
      </c>
      <c r="C1521" s="61"/>
      <c r="D1521" s="61"/>
    </row>
    <row r="1522" spans="1:4" ht="24.6" customHeight="1" thickBot="1" x14ac:dyDescent="0.25">
      <c r="A1522" s="62" t="s">
        <v>2475</v>
      </c>
      <c r="B1522" s="63" t="s">
        <v>1071</v>
      </c>
      <c r="C1522" s="61"/>
      <c r="D1522" s="61"/>
    </row>
    <row r="1523" spans="1:4" ht="24.6" customHeight="1" thickBot="1" x14ac:dyDescent="0.25">
      <c r="A1523" s="62" t="s">
        <v>2476</v>
      </c>
      <c r="B1523" s="63" t="s">
        <v>1073</v>
      </c>
      <c r="C1523" s="61"/>
      <c r="D1523" s="61"/>
    </row>
    <row r="1524" spans="1:4" ht="24.6" customHeight="1" thickBot="1" x14ac:dyDescent="0.25">
      <c r="A1524" s="62" t="s">
        <v>2477</v>
      </c>
      <c r="B1524" s="63" t="s">
        <v>1075</v>
      </c>
      <c r="C1524" s="61"/>
      <c r="D1524" s="61"/>
    </row>
    <row r="1525" spans="1:4" ht="24.6" customHeight="1" thickBot="1" x14ac:dyDescent="0.25">
      <c r="A1525" s="62" t="s">
        <v>2478</v>
      </c>
      <c r="B1525" s="63" t="s">
        <v>1882</v>
      </c>
      <c r="C1525" s="61"/>
      <c r="D1525" s="61"/>
    </row>
    <row r="1526" spans="1:4" ht="24.6" customHeight="1" thickBot="1" x14ac:dyDescent="0.25">
      <c r="A1526" s="62" t="s">
        <v>2479</v>
      </c>
      <c r="B1526" s="63" t="s">
        <v>1081</v>
      </c>
      <c r="C1526" s="61"/>
      <c r="D1526" s="61"/>
    </row>
    <row r="1527" spans="1:4" ht="24.6" customHeight="1" thickBot="1" x14ac:dyDescent="0.25">
      <c r="A1527" s="62" t="s">
        <v>2480</v>
      </c>
      <c r="B1527" s="63" t="s">
        <v>1688</v>
      </c>
      <c r="C1527" s="61"/>
      <c r="D1527" s="61"/>
    </row>
    <row r="1528" spans="1:4" ht="24.6" customHeight="1" thickBot="1" x14ac:dyDescent="0.25">
      <c r="A1528" s="62" t="s">
        <v>2481</v>
      </c>
      <c r="B1528" s="63" t="s">
        <v>1275</v>
      </c>
      <c r="C1528" s="61"/>
      <c r="D1528" s="61"/>
    </row>
    <row r="1529" spans="1:4" ht="24.6" customHeight="1" thickBot="1" x14ac:dyDescent="0.25">
      <c r="A1529" s="911" t="s">
        <v>1091</v>
      </c>
      <c r="B1529" s="912"/>
      <c r="C1529" s="61"/>
      <c r="D1529" s="61"/>
    </row>
    <row r="1530" spans="1:4" ht="24.6" customHeight="1" thickBot="1" x14ac:dyDescent="0.25">
      <c r="A1530" s="62" t="s">
        <v>2482</v>
      </c>
      <c r="B1530" s="63" t="s">
        <v>185</v>
      </c>
      <c r="C1530" s="61"/>
      <c r="D1530" s="61"/>
    </row>
    <row r="1531" spans="1:4" ht="24.6" customHeight="1" thickBot="1" x14ac:dyDescent="0.25">
      <c r="A1531" s="62" t="s">
        <v>2483</v>
      </c>
      <c r="B1531" s="63" t="s">
        <v>1094</v>
      </c>
      <c r="C1531" s="61"/>
      <c r="D1531" s="61"/>
    </row>
    <row r="1532" spans="1:4" ht="24.6" customHeight="1" thickBot="1" x14ac:dyDescent="0.25">
      <c r="A1532" s="62" t="s">
        <v>2484</v>
      </c>
      <c r="B1532" s="63" t="s">
        <v>1096</v>
      </c>
      <c r="C1532" s="61"/>
      <c r="D1532" s="61"/>
    </row>
    <row r="1533" spans="1:4" ht="24.6" customHeight="1" thickBot="1" x14ac:dyDescent="0.25">
      <c r="A1533" s="62" t="s">
        <v>2485</v>
      </c>
      <c r="B1533" s="63" t="s">
        <v>189</v>
      </c>
      <c r="C1533" s="61"/>
      <c r="D1533" s="61"/>
    </row>
    <row r="1534" spans="1:4" ht="24.6" customHeight="1" thickBot="1" x14ac:dyDescent="0.25">
      <c r="A1534" s="62" t="s">
        <v>2486</v>
      </c>
      <c r="B1534" s="63" t="s">
        <v>191</v>
      </c>
      <c r="C1534" s="61"/>
      <c r="D1534" s="61"/>
    </row>
    <row r="1535" spans="1:4" ht="24.6" customHeight="1" thickBot="1" x14ac:dyDescent="0.25">
      <c r="A1535" s="62" t="s">
        <v>2487</v>
      </c>
      <c r="B1535" s="63" t="s">
        <v>193</v>
      </c>
      <c r="C1535" s="61"/>
      <c r="D1535" s="61"/>
    </row>
    <row r="1536" spans="1:4" ht="24.6" customHeight="1" thickBot="1" x14ac:dyDescent="0.25">
      <c r="A1536" s="62" t="s">
        <v>2488</v>
      </c>
      <c r="B1536" s="63" t="s">
        <v>195</v>
      </c>
      <c r="C1536" s="61"/>
      <c r="D1536" s="61"/>
    </row>
    <row r="1537" spans="1:4" ht="24.6" customHeight="1" thickBot="1" x14ac:dyDescent="0.25">
      <c r="A1537" s="911" t="s">
        <v>2489</v>
      </c>
      <c r="B1537" s="912"/>
      <c r="C1537" s="61"/>
      <c r="D1537" s="61"/>
    </row>
    <row r="1538" spans="1:4" ht="24.6" customHeight="1" thickBot="1" x14ac:dyDescent="0.25">
      <c r="A1538" s="62" t="s">
        <v>2490</v>
      </c>
      <c r="B1538" s="63" t="s">
        <v>2491</v>
      </c>
      <c r="C1538" s="61"/>
      <c r="D1538" s="61"/>
    </row>
    <row r="1539" spans="1:4" ht="24.6" customHeight="1" thickBot="1" x14ac:dyDescent="0.25">
      <c r="A1539" s="62" t="s">
        <v>2492</v>
      </c>
      <c r="B1539" s="63" t="s">
        <v>2493</v>
      </c>
      <c r="C1539" s="61"/>
      <c r="D1539" s="61"/>
    </row>
    <row r="1540" spans="1:4" ht="24.6" customHeight="1" thickBot="1" x14ac:dyDescent="0.25">
      <c r="A1540" s="62" t="s">
        <v>2494</v>
      </c>
      <c r="B1540" s="63" t="s">
        <v>2495</v>
      </c>
      <c r="C1540" s="61"/>
      <c r="D1540" s="61"/>
    </row>
    <row r="1541" spans="1:4" ht="24.6" customHeight="1" thickBot="1" x14ac:dyDescent="0.25">
      <c r="A1541" s="62" t="s">
        <v>2496</v>
      </c>
      <c r="B1541" s="63" t="s">
        <v>2497</v>
      </c>
      <c r="C1541" s="61"/>
      <c r="D1541" s="61"/>
    </row>
    <row r="1542" spans="1:4" ht="24.6" customHeight="1" thickBot="1" x14ac:dyDescent="0.25">
      <c r="A1542" s="62" t="s">
        <v>2498</v>
      </c>
      <c r="B1542" s="63" t="s">
        <v>2499</v>
      </c>
      <c r="C1542" s="61"/>
      <c r="D1542" s="61"/>
    </row>
    <row r="1543" spans="1:4" ht="24.6" customHeight="1" thickBot="1" x14ac:dyDescent="0.25">
      <c r="A1543" s="62" t="s">
        <v>2500</v>
      </c>
      <c r="B1543" s="63" t="s">
        <v>2501</v>
      </c>
      <c r="C1543" s="61"/>
      <c r="D1543" s="61"/>
    </row>
    <row r="1544" spans="1:4" ht="24.6" customHeight="1" thickBot="1" x14ac:dyDescent="0.25">
      <c r="A1544" s="62" t="s">
        <v>2502</v>
      </c>
      <c r="B1544" s="63" t="s">
        <v>2503</v>
      </c>
      <c r="C1544" s="61"/>
      <c r="D1544" s="61"/>
    </row>
    <row r="1545" spans="1:4" ht="24.6" customHeight="1" thickBot="1" x14ac:dyDescent="0.25">
      <c r="A1545" s="62" t="s">
        <v>2504</v>
      </c>
      <c r="B1545" s="63" t="s">
        <v>2505</v>
      </c>
      <c r="C1545" s="61"/>
      <c r="D1545" s="61"/>
    </row>
    <row r="1546" spans="1:4" ht="24.6" customHeight="1" thickBot="1" x14ac:dyDescent="0.25">
      <c r="A1546" s="62" t="s">
        <v>2506</v>
      </c>
      <c r="B1546" s="63" t="s">
        <v>2507</v>
      </c>
      <c r="C1546" s="61"/>
      <c r="D1546" s="61"/>
    </row>
    <row r="1547" spans="1:4" ht="24.6" customHeight="1" thickBot="1" x14ac:dyDescent="0.25">
      <c r="A1547" s="62" t="s">
        <v>2508</v>
      </c>
      <c r="B1547" s="63" t="s">
        <v>2509</v>
      </c>
      <c r="C1547" s="61"/>
      <c r="D1547" s="61"/>
    </row>
    <row r="1548" spans="1:4" ht="24.6" customHeight="1" thickBot="1" x14ac:dyDescent="0.25">
      <c r="A1548" s="62" t="s">
        <v>2510</v>
      </c>
      <c r="B1548" s="63" t="s">
        <v>2511</v>
      </c>
      <c r="C1548" s="61"/>
      <c r="D1548" s="61"/>
    </row>
    <row r="1549" spans="1:4" ht="24.6" customHeight="1" thickBot="1" x14ac:dyDescent="0.25">
      <c r="A1549" s="62" t="s">
        <v>2512</v>
      </c>
      <c r="B1549" s="63" t="s">
        <v>2513</v>
      </c>
      <c r="C1549" s="61"/>
      <c r="D1549" s="61"/>
    </row>
    <row r="1550" spans="1:4" ht="24.6" customHeight="1" thickBot="1" x14ac:dyDescent="0.25">
      <c r="A1550" s="62" t="s">
        <v>2514</v>
      </c>
      <c r="B1550" s="63" t="s">
        <v>2515</v>
      </c>
      <c r="C1550" s="61"/>
      <c r="D1550" s="61"/>
    </row>
    <row r="1551" spans="1:4" ht="24.6" customHeight="1" thickBot="1" x14ac:dyDescent="0.25">
      <c r="A1551" s="62" t="s">
        <v>2516</v>
      </c>
      <c r="B1551" s="63" t="s">
        <v>2517</v>
      </c>
      <c r="C1551" s="61"/>
      <c r="D1551" s="61"/>
    </row>
    <row r="1552" spans="1:4" ht="24.6" customHeight="1" thickBot="1" x14ac:dyDescent="0.25">
      <c r="A1552" s="62" t="s">
        <v>2518</v>
      </c>
      <c r="B1552" s="63" t="s">
        <v>2519</v>
      </c>
      <c r="C1552" s="61"/>
      <c r="D1552" s="61"/>
    </row>
    <row r="1553" spans="1:4" ht="24.6" customHeight="1" thickBot="1" x14ac:dyDescent="0.25">
      <c r="A1553" s="62" t="s">
        <v>2520</v>
      </c>
      <c r="B1553" s="63" t="s">
        <v>2521</v>
      </c>
      <c r="C1553" s="61"/>
      <c r="D1553" s="61"/>
    </row>
    <row r="1554" spans="1:4" ht="24.6" customHeight="1" thickBot="1" x14ac:dyDescent="0.25">
      <c r="A1554" s="62" t="s">
        <v>2522</v>
      </c>
      <c r="B1554" s="63" t="s">
        <v>2523</v>
      </c>
      <c r="C1554" s="61"/>
      <c r="D1554" s="61"/>
    </row>
    <row r="1555" spans="1:4" ht="24.6" customHeight="1" thickBot="1" x14ac:dyDescent="0.25">
      <c r="A1555" s="62" t="s">
        <v>2524</v>
      </c>
      <c r="B1555" s="63" t="s">
        <v>2525</v>
      </c>
      <c r="C1555" s="61"/>
      <c r="D1555" s="61"/>
    </row>
    <row r="1556" spans="1:4" ht="24.6" customHeight="1" thickBot="1" x14ac:dyDescent="0.25">
      <c r="A1556" s="62" t="s">
        <v>2526</v>
      </c>
      <c r="B1556" s="63" t="s">
        <v>2527</v>
      </c>
      <c r="C1556" s="61"/>
      <c r="D1556" s="61"/>
    </row>
    <row r="1557" spans="1:4" ht="24.6" customHeight="1" thickBot="1" x14ac:dyDescent="0.25">
      <c r="A1557" s="62" t="s">
        <v>2528</v>
      </c>
      <c r="B1557" s="63" t="s">
        <v>2529</v>
      </c>
      <c r="C1557" s="61"/>
      <c r="D1557" s="61"/>
    </row>
    <row r="1558" spans="1:4" ht="24.6" customHeight="1" thickBot="1" x14ac:dyDescent="0.25">
      <c r="A1558" s="911" t="s">
        <v>1107</v>
      </c>
      <c r="B1558" s="912"/>
      <c r="C1558" s="61"/>
      <c r="D1558" s="61"/>
    </row>
    <row r="1559" spans="1:4" ht="24.6" customHeight="1" thickBot="1" x14ac:dyDescent="0.25">
      <c r="A1559" s="62" t="s">
        <v>2530</v>
      </c>
      <c r="B1559" s="63" t="s">
        <v>2531</v>
      </c>
      <c r="C1559" s="61"/>
      <c r="D1559" s="61"/>
    </row>
    <row r="1560" spans="1:4" ht="24.6" customHeight="1" thickBot="1" x14ac:dyDescent="0.25">
      <c r="A1560" s="62" t="s">
        <v>2532</v>
      </c>
      <c r="B1560" s="63" t="s">
        <v>2533</v>
      </c>
      <c r="C1560" s="61"/>
      <c r="D1560" s="61"/>
    </row>
    <row r="1561" spans="1:4" ht="24.6" customHeight="1" thickBot="1" x14ac:dyDescent="0.25">
      <c r="A1561" s="911" t="s">
        <v>1102</v>
      </c>
      <c r="B1561" s="912"/>
      <c r="C1561" s="61"/>
      <c r="D1561" s="61"/>
    </row>
    <row r="1562" spans="1:4" ht="24.6" customHeight="1" thickBot="1" x14ac:dyDescent="0.25">
      <c r="A1562" s="62" t="s">
        <v>2534</v>
      </c>
      <c r="B1562" s="63" t="s">
        <v>2535</v>
      </c>
      <c r="C1562" s="61"/>
      <c r="D1562" s="61"/>
    </row>
    <row r="1563" spans="1:4" ht="24.6" customHeight="1" thickBot="1" x14ac:dyDescent="0.25">
      <c r="A1563" s="62" t="s">
        <v>2536</v>
      </c>
      <c r="B1563" s="63" t="s">
        <v>1867</v>
      </c>
      <c r="C1563" s="61"/>
      <c r="D1563" s="61"/>
    </row>
    <row r="1564" spans="1:4" ht="24.6" customHeight="1" thickBot="1" x14ac:dyDescent="0.25">
      <c r="A1564" s="914" t="s">
        <v>2537</v>
      </c>
      <c r="B1564" s="915"/>
      <c r="C1564" s="61"/>
      <c r="D1564" s="61"/>
    </row>
    <row r="1565" spans="1:4" ht="24.6" customHeight="1" thickBot="1" x14ac:dyDescent="0.25">
      <c r="A1565" s="911" t="s">
        <v>140</v>
      </c>
      <c r="B1565" s="912"/>
      <c r="C1565" s="61"/>
      <c r="D1565" s="61"/>
    </row>
    <row r="1566" spans="1:4" ht="24.6" customHeight="1" thickBot="1" x14ac:dyDescent="0.25">
      <c r="A1566" s="62" t="s">
        <v>2538</v>
      </c>
      <c r="B1566" s="63" t="s">
        <v>1069</v>
      </c>
      <c r="C1566" s="61"/>
      <c r="D1566" s="61"/>
    </row>
    <row r="1567" spans="1:4" ht="24.6" customHeight="1" thickBot="1" x14ac:dyDescent="0.25">
      <c r="A1567" s="62" t="s">
        <v>2539</v>
      </c>
      <c r="B1567" s="63" t="s">
        <v>1071</v>
      </c>
      <c r="C1567" s="61"/>
      <c r="D1567" s="61"/>
    </row>
    <row r="1568" spans="1:4" ht="24.6" customHeight="1" thickBot="1" x14ac:dyDescent="0.25">
      <c r="A1568" s="62" t="s">
        <v>2540</v>
      </c>
      <c r="B1568" s="63" t="s">
        <v>1073</v>
      </c>
      <c r="C1568" s="61"/>
      <c r="D1568" s="61"/>
    </row>
    <row r="1569" spans="1:4" ht="24.6" customHeight="1" thickBot="1" x14ac:dyDescent="0.25">
      <c r="A1569" s="62" t="s">
        <v>2541</v>
      </c>
      <c r="B1569" s="63" t="s">
        <v>1075</v>
      </c>
      <c r="C1569" s="61"/>
      <c r="D1569" s="61"/>
    </row>
    <row r="1570" spans="1:4" ht="24.6" customHeight="1" thickBot="1" x14ac:dyDescent="0.25">
      <c r="A1570" s="62" t="s">
        <v>2542</v>
      </c>
      <c r="B1570" s="63" t="s">
        <v>1369</v>
      </c>
      <c r="C1570" s="61"/>
      <c r="D1570" s="61"/>
    </row>
    <row r="1571" spans="1:4" ht="24.6" customHeight="1" thickBot="1" x14ac:dyDescent="0.25">
      <c r="A1571" s="62" t="s">
        <v>2543</v>
      </c>
      <c r="B1571" s="63" t="s">
        <v>1411</v>
      </c>
      <c r="C1571" s="61"/>
      <c r="D1571" s="61"/>
    </row>
    <row r="1572" spans="1:4" ht="24.6" customHeight="1" thickBot="1" x14ac:dyDescent="0.25">
      <c r="A1572" s="62" t="s">
        <v>2544</v>
      </c>
      <c r="B1572" s="63" t="s">
        <v>1882</v>
      </c>
      <c r="C1572" s="61"/>
      <c r="D1572" s="61"/>
    </row>
    <row r="1573" spans="1:4" ht="24.6" customHeight="1" thickBot="1" x14ac:dyDescent="0.25">
      <c r="A1573" s="62" t="s">
        <v>2545</v>
      </c>
      <c r="B1573" s="63" t="s">
        <v>1081</v>
      </c>
      <c r="C1573" s="61"/>
      <c r="D1573" s="61"/>
    </row>
    <row r="1574" spans="1:4" ht="24.6" customHeight="1" thickBot="1" x14ac:dyDescent="0.25">
      <c r="A1574" s="62" t="s">
        <v>2546</v>
      </c>
      <c r="B1574" s="63" t="s">
        <v>1688</v>
      </c>
      <c r="C1574" s="61"/>
      <c r="D1574" s="61"/>
    </row>
    <row r="1575" spans="1:4" ht="24.6" customHeight="1" thickBot="1" x14ac:dyDescent="0.25">
      <c r="A1575" s="62" t="s">
        <v>2547</v>
      </c>
      <c r="B1575" s="63" t="s">
        <v>2548</v>
      </c>
      <c r="C1575" s="61"/>
      <c r="D1575" s="61"/>
    </row>
    <row r="1576" spans="1:4" ht="24.6" customHeight="1" thickBot="1" x14ac:dyDescent="0.25">
      <c r="A1576" s="62" t="s">
        <v>2549</v>
      </c>
      <c r="B1576" s="63" t="s">
        <v>2550</v>
      </c>
      <c r="C1576" s="61"/>
      <c r="D1576" s="61"/>
    </row>
    <row r="1577" spans="1:4" ht="24.6" customHeight="1" thickBot="1" x14ac:dyDescent="0.25">
      <c r="A1577" s="62" t="s">
        <v>2551</v>
      </c>
      <c r="B1577" s="63" t="s">
        <v>2552</v>
      </c>
      <c r="C1577" s="61"/>
      <c r="D1577" s="61"/>
    </row>
    <row r="1578" spans="1:4" ht="24.6" customHeight="1" thickBot="1" x14ac:dyDescent="0.25">
      <c r="A1578" s="925" t="s">
        <v>1091</v>
      </c>
      <c r="B1578" s="926"/>
      <c r="C1578" s="61"/>
      <c r="D1578" s="61"/>
    </row>
    <row r="1579" spans="1:4" ht="24.6" customHeight="1" thickBot="1" x14ac:dyDescent="0.25">
      <c r="A1579" s="62" t="s">
        <v>2553</v>
      </c>
      <c r="B1579" s="63" t="s">
        <v>185</v>
      </c>
      <c r="C1579" s="61"/>
      <c r="D1579" s="61"/>
    </row>
    <row r="1580" spans="1:4" ht="24.6" customHeight="1" thickBot="1" x14ac:dyDescent="0.25">
      <c r="A1580" s="62" t="s">
        <v>2554</v>
      </c>
      <c r="B1580" s="63" t="s">
        <v>1094</v>
      </c>
      <c r="C1580" s="61"/>
      <c r="D1580" s="61"/>
    </row>
    <row r="1581" spans="1:4" ht="24.6" customHeight="1" thickBot="1" x14ac:dyDescent="0.25">
      <c r="A1581" s="62" t="s">
        <v>2555</v>
      </c>
      <c r="B1581" s="63" t="s">
        <v>1096</v>
      </c>
      <c r="C1581" s="61"/>
      <c r="D1581" s="61"/>
    </row>
    <row r="1582" spans="1:4" ht="24.6" customHeight="1" thickBot="1" x14ac:dyDescent="0.25">
      <c r="A1582" s="62" t="s">
        <v>2556</v>
      </c>
      <c r="B1582" s="63" t="s">
        <v>189</v>
      </c>
      <c r="C1582" s="61"/>
      <c r="D1582" s="61"/>
    </row>
    <row r="1583" spans="1:4" ht="24.6" customHeight="1" thickBot="1" x14ac:dyDescent="0.25">
      <c r="A1583" s="62" t="s">
        <v>2557</v>
      </c>
      <c r="B1583" s="63" t="s">
        <v>191</v>
      </c>
      <c r="C1583" s="61"/>
      <c r="D1583" s="61"/>
    </row>
    <row r="1584" spans="1:4" ht="24.6" customHeight="1" thickBot="1" x14ac:dyDescent="0.25">
      <c r="A1584" s="62" t="s">
        <v>2558</v>
      </c>
      <c r="B1584" s="63" t="s">
        <v>193</v>
      </c>
      <c r="C1584" s="61"/>
      <c r="D1584" s="61"/>
    </row>
    <row r="1585" spans="1:4" ht="24.6" customHeight="1" thickBot="1" x14ac:dyDescent="0.25">
      <c r="A1585" s="62" t="s">
        <v>2559</v>
      </c>
      <c r="B1585" s="63" t="s">
        <v>195</v>
      </c>
      <c r="C1585" s="61"/>
      <c r="D1585" s="61"/>
    </row>
    <row r="1586" spans="1:4" ht="24.6" customHeight="1" thickBot="1" x14ac:dyDescent="0.25">
      <c r="A1586" s="911" t="s">
        <v>2489</v>
      </c>
      <c r="B1586" s="912"/>
      <c r="C1586" s="61"/>
      <c r="D1586" s="61"/>
    </row>
    <row r="1587" spans="1:4" ht="24.6" customHeight="1" thickBot="1" x14ac:dyDescent="0.25">
      <c r="A1587" s="62" t="s">
        <v>2560</v>
      </c>
      <c r="B1587" s="63" t="s">
        <v>2561</v>
      </c>
      <c r="C1587" s="61"/>
      <c r="D1587" s="61"/>
    </row>
    <row r="1588" spans="1:4" ht="24.6" customHeight="1" thickBot="1" x14ac:dyDescent="0.25">
      <c r="A1588" s="62" t="s">
        <v>2562</v>
      </c>
      <c r="B1588" s="63" t="s">
        <v>2563</v>
      </c>
      <c r="C1588" s="61"/>
      <c r="D1588" s="61"/>
    </row>
    <row r="1589" spans="1:4" ht="24.6" customHeight="1" thickBot="1" x14ac:dyDescent="0.25">
      <c r="A1589" s="62" t="s">
        <v>2564</v>
      </c>
      <c r="B1589" s="63" t="s">
        <v>2565</v>
      </c>
      <c r="C1589" s="61"/>
      <c r="D1589" s="61"/>
    </row>
    <row r="1590" spans="1:4" ht="24.6" customHeight="1" thickBot="1" x14ac:dyDescent="0.25">
      <c r="A1590" s="62" t="s">
        <v>2566</v>
      </c>
      <c r="B1590" s="63" t="s">
        <v>2567</v>
      </c>
      <c r="C1590" s="61"/>
      <c r="D1590" s="61"/>
    </row>
    <row r="1591" spans="1:4" ht="24.6" customHeight="1" thickBot="1" x14ac:dyDescent="0.25">
      <c r="A1591" s="62" t="s">
        <v>2568</v>
      </c>
      <c r="B1591" s="63" t="s">
        <v>2569</v>
      </c>
      <c r="C1591" s="61"/>
      <c r="D1591" s="61"/>
    </row>
    <row r="1592" spans="1:4" ht="24.6" customHeight="1" thickBot="1" x14ac:dyDescent="0.25">
      <c r="A1592" s="62" t="s">
        <v>2570</v>
      </c>
      <c r="B1592" s="63" t="s">
        <v>2571</v>
      </c>
      <c r="C1592" s="61"/>
      <c r="D1592" s="61"/>
    </row>
    <row r="1593" spans="1:4" ht="24.6" customHeight="1" thickBot="1" x14ac:dyDescent="0.25">
      <c r="A1593" s="62" t="s">
        <v>2572</v>
      </c>
      <c r="B1593" s="63" t="s">
        <v>2573</v>
      </c>
      <c r="C1593" s="61"/>
      <c r="D1593" s="61"/>
    </row>
    <row r="1594" spans="1:4" ht="24.6" customHeight="1" thickBot="1" x14ac:dyDescent="0.25">
      <c r="A1594" s="62" t="s">
        <v>2574</v>
      </c>
      <c r="B1594" s="63" t="s">
        <v>2575</v>
      </c>
      <c r="C1594" s="61"/>
      <c r="D1594" s="61"/>
    </row>
    <row r="1595" spans="1:4" ht="24.6" customHeight="1" thickBot="1" x14ac:dyDescent="0.25">
      <c r="A1595" s="62" t="s">
        <v>2576</v>
      </c>
      <c r="B1595" s="63" t="s">
        <v>2577</v>
      </c>
      <c r="C1595" s="61"/>
      <c r="D1595" s="61"/>
    </row>
    <row r="1596" spans="1:4" ht="24.6" customHeight="1" thickBot="1" x14ac:dyDescent="0.25">
      <c r="A1596" s="62" t="s">
        <v>2578</v>
      </c>
      <c r="B1596" s="63" t="s">
        <v>2579</v>
      </c>
      <c r="C1596" s="61"/>
      <c r="D1596" s="61"/>
    </row>
    <row r="1597" spans="1:4" ht="24.6" customHeight="1" thickBot="1" x14ac:dyDescent="0.25">
      <c r="A1597" s="62" t="s">
        <v>2580</v>
      </c>
      <c r="B1597" s="63" t="s">
        <v>2581</v>
      </c>
      <c r="C1597" s="61"/>
      <c r="D1597" s="61"/>
    </row>
    <row r="1598" spans="1:4" ht="24.6" customHeight="1" thickBot="1" x14ac:dyDescent="0.25">
      <c r="A1598" s="62" t="s">
        <v>2582</v>
      </c>
      <c r="B1598" s="63" t="s">
        <v>2583</v>
      </c>
      <c r="C1598" s="61"/>
      <c r="D1598" s="61"/>
    </row>
    <row r="1599" spans="1:4" ht="24.6" customHeight="1" thickBot="1" x14ac:dyDescent="0.25">
      <c r="A1599" s="62" t="s">
        <v>2584</v>
      </c>
      <c r="B1599" s="63" t="s">
        <v>2585</v>
      </c>
      <c r="C1599" s="61"/>
      <c r="D1599" s="61"/>
    </row>
    <row r="1600" spans="1:4" ht="24.6" customHeight="1" thickBot="1" x14ac:dyDescent="0.25">
      <c r="A1600" s="62" t="s">
        <v>2586</v>
      </c>
      <c r="B1600" s="63" t="s">
        <v>2587</v>
      </c>
      <c r="C1600" s="61"/>
      <c r="D1600" s="61"/>
    </row>
    <row r="1601" spans="1:4" ht="24.6" customHeight="1" thickBot="1" x14ac:dyDescent="0.25">
      <c r="A1601" s="62" t="s">
        <v>2588</v>
      </c>
      <c r="B1601" s="63" t="s">
        <v>2589</v>
      </c>
      <c r="C1601" s="61"/>
      <c r="D1601" s="61"/>
    </row>
    <row r="1602" spans="1:4" ht="24.6" customHeight="1" thickBot="1" x14ac:dyDescent="0.25">
      <c r="A1602" s="62" t="s">
        <v>2590</v>
      </c>
      <c r="B1602" s="63" t="s">
        <v>2591</v>
      </c>
      <c r="C1602" s="61"/>
      <c r="D1602" s="61"/>
    </row>
    <row r="1603" spans="1:4" ht="24.6" customHeight="1" thickBot="1" x14ac:dyDescent="0.25">
      <c r="A1603" s="62" t="s">
        <v>2592</v>
      </c>
      <c r="B1603" s="63" t="s">
        <v>2593</v>
      </c>
      <c r="C1603" s="61"/>
      <c r="D1603" s="61"/>
    </row>
    <row r="1604" spans="1:4" ht="24.6" customHeight="1" thickBot="1" x14ac:dyDescent="0.25">
      <c r="A1604" s="62" t="s">
        <v>2594</v>
      </c>
      <c r="B1604" s="63" t="s">
        <v>2595</v>
      </c>
      <c r="C1604" s="61"/>
      <c r="D1604" s="61"/>
    </row>
    <row r="1605" spans="1:4" ht="24.6" customHeight="1" thickBot="1" x14ac:dyDescent="0.25">
      <c r="A1605" s="62" t="s">
        <v>2596</v>
      </c>
      <c r="B1605" s="63" t="s">
        <v>2597</v>
      </c>
      <c r="C1605" s="61"/>
      <c r="D1605" s="61"/>
    </row>
    <row r="1606" spans="1:4" ht="24.6" customHeight="1" thickBot="1" x14ac:dyDescent="0.25">
      <c r="A1606" s="62" t="s">
        <v>2598</v>
      </c>
      <c r="B1606" s="63" t="s">
        <v>2599</v>
      </c>
      <c r="C1606" s="61"/>
      <c r="D1606" s="61"/>
    </row>
    <row r="1607" spans="1:4" ht="24.6" customHeight="1" thickBot="1" x14ac:dyDescent="0.25">
      <c r="A1607" s="911" t="s">
        <v>1107</v>
      </c>
      <c r="B1607" s="912"/>
      <c r="C1607" s="61"/>
      <c r="D1607" s="61"/>
    </row>
    <row r="1608" spans="1:4" ht="24.6" customHeight="1" thickBot="1" x14ac:dyDescent="0.25">
      <c r="A1608" s="62" t="s">
        <v>2600</v>
      </c>
      <c r="B1608" s="63" t="s">
        <v>2601</v>
      </c>
      <c r="C1608" s="61"/>
      <c r="D1608" s="61"/>
    </row>
    <row r="1609" spans="1:4" ht="24.6" customHeight="1" thickBot="1" x14ac:dyDescent="0.25">
      <c r="A1609" s="62" t="s">
        <v>2602</v>
      </c>
      <c r="B1609" s="63" t="s">
        <v>2603</v>
      </c>
      <c r="C1609" s="61"/>
      <c r="D1609" s="61"/>
    </row>
    <row r="1610" spans="1:4" ht="24.6" customHeight="1" thickBot="1" x14ac:dyDescent="0.25">
      <c r="A1610" s="911" t="s">
        <v>1102</v>
      </c>
      <c r="B1610" s="912"/>
      <c r="C1610" s="61"/>
      <c r="D1610" s="61"/>
    </row>
    <row r="1611" spans="1:4" ht="24.6" customHeight="1" thickBot="1" x14ac:dyDescent="0.25">
      <c r="A1611" s="62" t="s">
        <v>2604</v>
      </c>
      <c r="B1611" s="63" t="s">
        <v>2535</v>
      </c>
      <c r="C1611" s="61"/>
      <c r="D1611" s="61"/>
    </row>
    <row r="1612" spans="1:4" ht="24.6" customHeight="1" thickBot="1" x14ac:dyDescent="0.25">
      <c r="A1612" s="62" t="s">
        <v>2605</v>
      </c>
      <c r="B1612" s="63" t="s">
        <v>1867</v>
      </c>
      <c r="C1612" s="61"/>
      <c r="D1612" s="61"/>
    </row>
    <row r="1613" spans="1:4" ht="24.6" customHeight="1" thickBot="1" x14ac:dyDescent="0.25">
      <c r="A1613" s="911" t="s">
        <v>2606</v>
      </c>
      <c r="B1613" s="912"/>
      <c r="C1613" s="61"/>
      <c r="D1613" s="61"/>
    </row>
    <row r="1614" spans="1:4" ht="24.6" customHeight="1" thickBot="1" x14ac:dyDescent="0.25">
      <c r="A1614" s="911" t="s">
        <v>140</v>
      </c>
      <c r="B1614" s="912"/>
      <c r="C1614" s="61"/>
      <c r="D1614" s="61"/>
    </row>
    <row r="1615" spans="1:4" ht="24.6" customHeight="1" thickBot="1" x14ac:dyDescent="0.25">
      <c r="A1615" s="62" t="s">
        <v>2607</v>
      </c>
      <c r="B1615" s="63" t="s">
        <v>1069</v>
      </c>
      <c r="C1615" s="61"/>
      <c r="D1615" s="61"/>
    </row>
    <row r="1616" spans="1:4" ht="24.6" customHeight="1" thickBot="1" x14ac:dyDescent="0.25">
      <c r="A1616" s="62" t="s">
        <v>2608</v>
      </c>
      <c r="B1616" s="63" t="s">
        <v>1071</v>
      </c>
      <c r="C1616" s="61"/>
      <c r="D1616" s="61"/>
    </row>
    <row r="1617" spans="1:4" ht="24.6" customHeight="1" thickBot="1" x14ac:dyDescent="0.25">
      <c r="A1617" s="62" t="s">
        <v>2609</v>
      </c>
      <c r="B1617" s="63" t="s">
        <v>1073</v>
      </c>
      <c r="C1617" s="61"/>
      <c r="D1617" s="61"/>
    </row>
    <row r="1618" spans="1:4" ht="24.6" customHeight="1" thickBot="1" x14ac:dyDescent="0.25">
      <c r="A1618" s="62" t="s">
        <v>2610</v>
      </c>
      <c r="B1618" s="63" t="s">
        <v>1075</v>
      </c>
      <c r="C1618" s="61"/>
      <c r="D1618" s="61"/>
    </row>
    <row r="1619" spans="1:4" ht="24.6" customHeight="1" thickBot="1" x14ac:dyDescent="0.25">
      <c r="A1619" s="62" t="s">
        <v>2611</v>
      </c>
      <c r="B1619" s="63" t="s">
        <v>1369</v>
      </c>
      <c r="C1619" s="61"/>
      <c r="D1619" s="61"/>
    </row>
    <row r="1620" spans="1:4" ht="24.6" customHeight="1" thickBot="1" x14ac:dyDescent="0.25">
      <c r="A1620" s="62" t="s">
        <v>2612</v>
      </c>
      <c r="B1620" s="63" t="s">
        <v>1411</v>
      </c>
      <c r="C1620" s="61"/>
      <c r="D1620" s="61"/>
    </row>
    <row r="1621" spans="1:4" ht="24.6" customHeight="1" thickBot="1" x14ac:dyDescent="0.25">
      <c r="A1621" s="62" t="s">
        <v>2613</v>
      </c>
      <c r="B1621" s="63" t="s">
        <v>1882</v>
      </c>
      <c r="C1621" s="61"/>
      <c r="D1621" s="61"/>
    </row>
    <row r="1622" spans="1:4" ht="24.6" customHeight="1" thickBot="1" x14ac:dyDescent="0.25">
      <c r="A1622" s="62" t="s">
        <v>2614</v>
      </c>
      <c r="B1622" s="63" t="s">
        <v>1081</v>
      </c>
      <c r="C1622" s="61"/>
      <c r="D1622" s="61"/>
    </row>
    <row r="1623" spans="1:4" ht="24.6" customHeight="1" thickBot="1" x14ac:dyDescent="0.25">
      <c r="A1623" s="62" t="s">
        <v>2615</v>
      </c>
      <c r="B1623" s="63" t="s">
        <v>2616</v>
      </c>
      <c r="C1623" s="61"/>
      <c r="D1623" s="61"/>
    </row>
    <row r="1624" spans="1:4" ht="24.6" customHeight="1" thickBot="1" x14ac:dyDescent="0.25">
      <c r="A1624" s="62" t="s">
        <v>2617</v>
      </c>
      <c r="B1624" s="63" t="s">
        <v>1688</v>
      </c>
      <c r="C1624" s="61"/>
      <c r="D1624" s="61"/>
    </row>
    <row r="1625" spans="1:4" ht="24.6" customHeight="1" thickBot="1" x14ac:dyDescent="0.25">
      <c r="A1625" s="62" t="s">
        <v>2618</v>
      </c>
      <c r="B1625" s="63" t="s">
        <v>1275</v>
      </c>
      <c r="C1625" s="61"/>
      <c r="D1625" s="61"/>
    </row>
    <row r="1626" spans="1:4" ht="24.6" customHeight="1" thickBot="1" x14ac:dyDescent="0.25">
      <c r="A1626" s="62" t="s">
        <v>2619</v>
      </c>
      <c r="B1626" s="63" t="s">
        <v>2620</v>
      </c>
      <c r="C1626" s="61"/>
      <c r="D1626" s="61"/>
    </row>
    <row r="1627" spans="1:4" ht="24.6" customHeight="1" thickBot="1" x14ac:dyDescent="0.25">
      <c r="A1627" s="62" t="s">
        <v>2621</v>
      </c>
      <c r="B1627" s="63" t="s">
        <v>2622</v>
      </c>
      <c r="C1627" s="61"/>
      <c r="D1627" s="61"/>
    </row>
    <row r="1628" spans="1:4" ht="24.6" customHeight="1" thickBot="1" x14ac:dyDescent="0.25">
      <c r="A1628" s="911" t="s">
        <v>2623</v>
      </c>
      <c r="B1628" s="912"/>
      <c r="C1628" s="61"/>
      <c r="D1628" s="61"/>
    </row>
    <row r="1629" spans="1:4" ht="24.6" customHeight="1" thickBot="1" x14ac:dyDescent="0.25">
      <c r="A1629" s="62" t="s">
        <v>2624</v>
      </c>
      <c r="B1629" s="63" t="s">
        <v>2625</v>
      </c>
      <c r="C1629" s="61"/>
      <c r="D1629" s="61"/>
    </row>
    <row r="1630" spans="1:4" ht="24.6" customHeight="1" thickBot="1" x14ac:dyDescent="0.25">
      <c r="A1630" s="62" t="s">
        <v>2626</v>
      </c>
      <c r="B1630" s="63" t="s">
        <v>2627</v>
      </c>
      <c r="C1630" s="61"/>
      <c r="D1630" s="61"/>
    </row>
    <row r="1631" spans="1:4" ht="24.6" customHeight="1" thickBot="1" x14ac:dyDescent="0.25">
      <c r="A1631" s="62" t="s">
        <v>2628</v>
      </c>
      <c r="B1631" s="63" t="s">
        <v>2629</v>
      </c>
      <c r="C1631" s="61"/>
      <c r="D1631" s="61"/>
    </row>
    <row r="1632" spans="1:4" ht="24.6" customHeight="1" thickBot="1" x14ac:dyDescent="0.25">
      <c r="A1632" s="62" t="s">
        <v>2630</v>
      </c>
      <c r="B1632" s="63" t="s">
        <v>2631</v>
      </c>
      <c r="C1632" s="61"/>
      <c r="D1632" s="61"/>
    </row>
    <row r="1633" spans="1:4" ht="24.6" customHeight="1" thickBot="1" x14ac:dyDescent="0.25">
      <c r="A1633" s="62" t="s">
        <v>2632</v>
      </c>
      <c r="B1633" s="63" t="s">
        <v>2633</v>
      </c>
      <c r="C1633" s="61"/>
      <c r="D1633" s="61"/>
    </row>
    <row r="1634" spans="1:4" ht="24.6" customHeight="1" thickBot="1" x14ac:dyDescent="0.25">
      <c r="A1634" s="62" t="s">
        <v>2634</v>
      </c>
      <c r="B1634" s="63" t="s">
        <v>2635</v>
      </c>
      <c r="C1634" s="61"/>
      <c r="D1634" s="61"/>
    </row>
    <row r="1635" spans="1:4" ht="24.6" customHeight="1" thickBot="1" x14ac:dyDescent="0.25">
      <c r="A1635" s="62" t="s">
        <v>2636</v>
      </c>
      <c r="B1635" s="63" t="s">
        <v>2637</v>
      </c>
      <c r="C1635" s="61"/>
      <c r="D1635" s="61"/>
    </row>
    <row r="1636" spans="1:4" ht="24.6" customHeight="1" thickBot="1" x14ac:dyDescent="0.25">
      <c r="A1636" s="62" t="s">
        <v>2638</v>
      </c>
      <c r="B1636" s="63" t="s">
        <v>2639</v>
      </c>
      <c r="C1636" s="61"/>
      <c r="D1636" s="61"/>
    </row>
    <row r="1637" spans="1:4" ht="24.6" customHeight="1" thickBot="1" x14ac:dyDescent="0.25">
      <c r="A1637" s="62" t="s">
        <v>2640</v>
      </c>
      <c r="B1637" s="63" t="s">
        <v>2641</v>
      </c>
      <c r="C1637" s="61"/>
      <c r="D1637" s="61"/>
    </row>
    <row r="1638" spans="1:4" ht="24.6" customHeight="1" thickBot="1" x14ac:dyDescent="0.25">
      <c r="A1638" s="62" t="s">
        <v>2642</v>
      </c>
      <c r="B1638" s="63" t="s">
        <v>2643</v>
      </c>
      <c r="C1638" s="61"/>
      <c r="D1638" s="61"/>
    </row>
    <row r="1639" spans="1:4" ht="24.6" customHeight="1" thickBot="1" x14ac:dyDescent="0.25">
      <c r="A1639" s="62" t="s">
        <v>2644</v>
      </c>
      <c r="B1639" s="63" t="s">
        <v>2645</v>
      </c>
      <c r="C1639" s="61"/>
      <c r="D1639" s="61"/>
    </row>
    <row r="1640" spans="1:4" ht="24.6" customHeight="1" thickBot="1" x14ac:dyDescent="0.25">
      <c r="A1640" s="62" t="s">
        <v>2646</v>
      </c>
      <c r="B1640" s="63" t="s">
        <v>2647</v>
      </c>
      <c r="C1640" s="61"/>
      <c r="D1640" s="61"/>
    </row>
    <row r="1641" spans="1:4" ht="24.6" customHeight="1" thickBot="1" x14ac:dyDescent="0.25">
      <c r="A1641" s="62" t="s">
        <v>2648</v>
      </c>
      <c r="B1641" s="63" t="s">
        <v>2649</v>
      </c>
      <c r="C1641" s="61"/>
      <c r="D1641" s="61"/>
    </row>
    <row r="1642" spans="1:4" ht="24.6" customHeight="1" thickBot="1" x14ac:dyDescent="0.25">
      <c r="A1642" s="62" t="s">
        <v>2650</v>
      </c>
      <c r="B1642" s="63" t="s">
        <v>2651</v>
      </c>
      <c r="C1642" s="61"/>
      <c r="D1642" s="61"/>
    </row>
    <row r="1643" spans="1:4" ht="24.6" customHeight="1" thickBot="1" x14ac:dyDescent="0.25">
      <c r="A1643" s="62" t="s">
        <v>2652</v>
      </c>
      <c r="B1643" s="63" t="s">
        <v>2653</v>
      </c>
      <c r="C1643" s="61"/>
      <c r="D1643" s="61"/>
    </row>
    <row r="1644" spans="1:4" ht="24.6" customHeight="1" thickBot="1" x14ac:dyDescent="0.25">
      <c r="A1644" s="62" t="s">
        <v>2654</v>
      </c>
      <c r="B1644" s="63" t="s">
        <v>2655</v>
      </c>
      <c r="C1644" s="61"/>
      <c r="D1644" s="61"/>
    </row>
    <row r="1645" spans="1:4" ht="24.6" customHeight="1" thickBot="1" x14ac:dyDescent="0.25">
      <c r="A1645" s="62" t="s">
        <v>2656</v>
      </c>
      <c r="B1645" s="63" t="s">
        <v>2657</v>
      </c>
      <c r="C1645" s="61"/>
      <c r="D1645" s="61"/>
    </row>
    <row r="1646" spans="1:4" ht="24.6" customHeight="1" thickBot="1" x14ac:dyDescent="0.25">
      <c r="A1646" s="62" t="s">
        <v>2658</v>
      </c>
      <c r="B1646" s="63" t="s">
        <v>2659</v>
      </c>
      <c r="C1646" s="61"/>
      <c r="D1646" s="61"/>
    </row>
    <row r="1647" spans="1:4" ht="24.6" customHeight="1" thickBot="1" x14ac:dyDescent="0.25">
      <c r="A1647" s="62" t="s">
        <v>2660</v>
      </c>
      <c r="B1647" s="63" t="s">
        <v>2661</v>
      </c>
      <c r="C1647" s="61"/>
      <c r="D1647" s="61"/>
    </row>
    <row r="1648" spans="1:4" ht="24.6" customHeight="1" thickBot="1" x14ac:dyDescent="0.25">
      <c r="A1648" s="62" t="s">
        <v>2662</v>
      </c>
      <c r="B1648" s="63" t="s">
        <v>2663</v>
      </c>
      <c r="C1648" s="61"/>
      <c r="D1648" s="61"/>
    </row>
    <row r="1649" spans="1:4" ht="24.6" customHeight="1" thickBot="1" x14ac:dyDescent="0.25">
      <c r="A1649" s="62" t="s">
        <v>2664</v>
      </c>
      <c r="B1649" s="63" t="s">
        <v>2665</v>
      </c>
      <c r="C1649" s="61"/>
      <c r="D1649" s="61"/>
    </row>
    <row r="1650" spans="1:4" ht="24.6" customHeight="1" thickBot="1" x14ac:dyDescent="0.25">
      <c r="A1650" s="62" t="s">
        <v>2666</v>
      </c>
      <c r="B1650" s="63" t="s">
        <v>2667</v>
      </c>
      <c r="C1650" s="61"/>
      <c r="D1650" s="61"/>
    </row>
    <row r="1651" spans="1:4" ht="24.6" customHeight="1" thickBot="1" x14ac:dyDescent="0.25">
      <c r="A1651" s="62" t="s">
        <v>2668</v>
      </c>
      <c r="B1651" s="63" t="s">
        <v>2669</v>
      </c>
      <c r="C1651" s="61"/>
      <c r="D1651" s="61"/>
    </row>
    <row r="1652" spans="1:4" ht="24.6" customHeight="1" thickBot="1" x14ac:dyDescent="0.25">
      <c r="A1652" s="62" t="s">
        <v>2670</v>
      </c>
      <c r="B1652" s="63" t="s">
        <v>2671</v>
      </c>
      <c r="C1652" s="61"/>
      <c r="D1652" s="61"/>
    </row>
    <row r="1653" spans="1:4" ht="24.6" customHeight="1" thickBot="1" x14ac:dyDescent="0.25">
      <c r="A1653" s="62" t="s">
        <v>2672</v>
      </c>
      <c r="B1653" s="63" t="s">
        <v>2673</v>
      </c>
      <c r="C1653" s="61"/>
      <c r="D1653" s="61"/>
    </row>
    <row r="1654" spans="1:4" ht="24.6" customHeight="1" thickBot="1" x14ac:dyDescent="0.25">
      <c r="A1654" s="62" t="s">
        <v>2674</v>
      </c>
      <c r="B1654" s="63" t="s">
        <v>2675</v>
      </c>
      <c r="C1654" s="61"/>
      <c r="D1654" s="61"/>
    </row>
    <row r="1655" spans="1:4" ht="24.6" customHeight="1" thickBot="1" x14ac:dyDescent="0.25">
      <c r="A1655" s="62" t="s">
        <v>2676</v>
      </c>
      <c r="B1655" s="63" t="s">
        <v>2677</v>
      </c>
      <c r="C1655" s="61"/>
      <c r="D1655" s="61"/>
    </row>
    <row r="1656" spans="1:4" ht="24.6" customHeight="1" thickBot="1" x14ac:dyDescent="0.25">
      <c r="A1656" s="62" t="s">
        <v>2678</v>
      </c>
      <c r="B1656" s="63" t="s">
        <v>2679</v>
      </c>
      <c r="C1656" s="61"/>
      <c r="D1656" s="61"/>
    </row>
    <row r="1657" spans="1:4" ht="24.6" customHeight="1" thickBot="1" x14ac:dyDescent="0.25">
      <c r="A1657" s="62" t="s">
        <v>2680</v>
      </c>
      <c r="B1657" s="63" t="s">
        <v>2681</v>
      </c>
      <c r="C1657" s="61"/>
      <c r="D1657" s="61"/>
    </row>
    <row r="1658" spans="1:4" ht="24.6" customHeight="1" thickBot="1" x14ac:dyDescent="0.25">
      <c r="A1658" s="62" t="s">
        <v>2682</v>
      </c>
      <c r="B1658" s="63" t="s">
        <v>2683</v>
      </c>
      <c r="C1658" s="61"/>
      <c r="D1658" s="61"/>
    </row>
    <row r="1659" spans="1:4" ht="24.6" customHeight="1" thickBot="1" x14ac:dyDescent="0.25">
      <c r="A1659" s="62" t="s">
        <v>2684</v>
      </c>
      <c r="B1659" s="63" t="s">
        <v>2685</v>
      </c>
      <c r="C1659" s="61"/>
      <c r="D1659" s="61"/>
    </row>
    <row r="1660" spans="1:4" ht="24.6" customHeight="1" thickBot="1" x14ac:dyDescent="0.25">
      <c r="A1660" s="62" t="s">
        <v>2686</v>
      </c>
      <c r="B1660" s="63" t="s">
        <v>2687</v>
      </c>
      <c r="C1660" s="61"/>
      <c r="D1660" s="61"/>
    </row>
    <row r="1661" spans="1:4" ht="24.6" customHeight="1" thickBot="1" x14ac:dyDescent="0.25">
      <c r="A1661" s="62" t="s">
        <v>2688</v>
      </c>
      <c r="B1661" s="63" t="s">
        <v>2689</v>
      </c>
      <c r="C1661" s="61"/>
      <c r="D1661" s="61"/>
    </row>
    <row r="1662" spans="1:4" ht="24.6" customHeight="1" thickBot="1" x14ac:dyDescent="0.25">
      <c r="A1662" s="62" t="s">
        <v>2690</v>
      </c>
      <c r="B1662" s="63" t="s">
        <v>2691</v>
      </c>
      <c r="C1662" s="61"/>
      <c r="D1662" s="61"/>
    </row>
    <row r="1663" spans="1:4" ht="24.6" customHeight="1" thickBot="1" x14ac:dyDescent="0.25">
      <c r="A1663" s="62" t="s">
        <v>2692</v>
      </c>
      <c r="B1663" s="63" t="s">
        <v>2693</v>
      </c>
      <c r="C1663" s="61"/>
      <c r="D1663" s="61"/>
    </row>
    <row r="1664" spans="1:4" ht="24.6" customHeight="1" thickBot="1" x14ac:dyDescent="0.25">
      <c r="A1664" s="62" t="s">
        <v>2694</v>
      </c>
      <c r="B1664" s="63" t="s">
        <v>2695</v>
      </c>
      <c r="C1664" s="61"/>
      <c r="D1664" s="61"/>
    </row>
    <row r="1665" spans="1:4" ht="24.6" customHeight="1" thickBot="1" x14ac:dyDescent="0.25">
      <c r="A1665" s="62" t="s">
        <v>2696</v>
      </c>
      <c r="B1665" s="63" t="s">
        <v>2697</v>
      </c>
      <c r="C1665" s="61"/>
      <c r="D1665" s="61"/>
    </row>
    <row r="1666" spans="1:4" ht="24.6" customHeight="1" thickBot="1" x14ac:dyDescent="0.25">
      <c r="A1666" s="62" t="s">
        <v>2698</v>
      </c>
      <c r="B1666" s="63" t="s">
        <v>2699</v>
      </c>
      <c r="C1666" s="61"/>
      <c r="D1666" s="61"/>
    </row>
    <row r="1667" spans="1:4" ht="24.6" customHeight="1" thickBot="1" x14ac:dyDescent="0.25">
      <c r="A1667" s="62" t="s">
        <v>2700</v>
      </c>
      <c r="B1667" s="63" t="s">
        <v>2701</v>
      </c>
      <c r="C1667" s="61"/>
      <c r="D1667" s="61"/>
    </row>
    <row r="1668" spans="1:4" ht="24.6" customHeight="1" thickBot="1" x14ac:dyDescent="0.25">
      <c r="A1668" s="62" t="s">
        <v>2702</v>
      </c>
      <c r="B1668" s="63" t="s">
        <v>2703</v>
      </c>
      <c r="C1668" s="61"/>
      <c r="D1668" s="61"/>
    </row>
    <row r="1669" spans="1:4" ht="24.6" customHeight="1" thickBot="1" x14ac:dyDescent="0.25">
      <c r="A1669" s="62" t="s">
        <v>2704</v>
      </c>
      <c r="B1669" s="63" t="s">
        <v>2705</v>
      </c>
      <c r="C1669" s="61"/>
      <c r="D1669" s="61"/>
    </row>
    <row r="1670" spans="1:4" ht="24.6" customHeight="1" thickBot="1" x14ac:dyDescent="0.25">
      <c r="A1670" s="62" t="s">
        <v>2706</v>
      </c>
      <c r="B1670" s="63" t="s">
        <v>2707</v>
      </c>
      <c r="C1670" s="61"/>
      <c r="D1670" s="61"/>
    </row>
    <row r="1671" spans="1:4" ht="24.6" customHeight="1" thickBot="1" x14ac:dyDescent="0.25">
      <c r="A1671" s="62" t="s">
        <v>2708</v>
      </c>
      <c r="B1671" s="63" t="s">
        <v>2709</v>
      </c>
      <c r="C1671" s="61"/>
      <c r="D1671" s="61"/>
    </row>
    <row r="1672" spans="1:4" ht="24.6" customHeight="1" thickBot="1" x14ac:dyDescent="0.25">
      <c r="A1672" s="62" t="s">
        <v>2710</v>
      </c>
      <c r="B1672" s="63" t="s">
        <v>2711</v>
      </c>
      <c r="C1672" s="61"/>
      <c r="D1672" s="61"/>
    </row>
    <row r="1673" spans="1:4" ht="24.6" customHeight="1" thickBot="1" x14ac:dyDescent="0.25">
      <c r="A1673" s="62" t="s">
        <v>2712</v>
      </c>
      <c r="B1673" s="63" t="s">
        <v>715</v>
      </c>
      <c r="C1673" s="61"/>
      <c r="D1673" s="61"/>
    </row>
    <row r="1674" spans="1:4" ht="24.6" customHeight="1" thickBot="1" x14ac:dyDescent="0.25">
      <c r="A1674" s="62" t="s">
        <v>2713</v>
      </c>
      <c r="B1674" s="63" t="s">
        <v>2714</v>
      </c>
      <c r="C1674" s="61"/>
      <c r="D1674" s="61"/>
    </row>
    <row r="1675" spans="1:4" ht="24.6" customHeight="1" thickBot="1" x14ac:dyDescent="0.25">
      <c r="A1675" s="62" t="s">
        <v>2715</v>
      </c>
      <c r="B1675" s="63" t="s">
        <v>2716</v>
      </c>
      <c r="C1675" s="61"/>
      <c r="D1675" s="61"/>
    </row>
    <row r="1676" spans="1:4" ht="24.6" customHeight="1" thickBot="1" x14ac:dyDescent="0.25">
      <c r="A1676" s="62" t="s">
        <v>2717</v>
      </c>
      <c r="B1676" s="63" t="s">
        <v>2718</v>
      </c>
      <c r="C1676" s="61"/>
      <c r="D1676" s="61"/>
    </row>
    <row r="1677" spans="1:4" ht="24.6" customHeight="1" thickBot="1" x14ac:dyDescent="0.25">
      <c r="A1677" s="62" t="s">
        <v>2719</v>
      </c>
      <c r="B1677" s="63" t="s">
        <v>2720</v>
      </c>
      <c r="C1677" s="61"/>
      <c r="D1677" s="61"/>
    </row>
    <row r="1678" spans="1:4" ht="24.6" customHeight="1" thickBot="1" x14ac:dyDescent="0.25">
      <c r="A1678" s="911" t="s">
        <v>1107</v>
      </c>
      <c r="B1678" s="912"/>
      <c r="C1678" s="61"/>
      <c r="D1678" s="61"/>
    </row>
    <row r="1679" spans="1:4" ht="24.6" customHeight="1" thickBot="1" x14ac:dyDescent="0.25">
      <c r="A1679" s="62" t="s">
        <v>2721</v>
      </c>
      <c r="B1679" s="63" t="s">
        <v>2722</v>
      </c>
      <c r="C1679" s="61"/>
      <c r="D1679" s="61"/>
    </row>
    <row r="1680" spans="1:4" ht="24.6" customHeight="1" thickBot="1" x14ac:dyDescent="0.25">
      <c r="A1680" s="62" t="s">
        <v>2723</v>
      </c>
      <c r="B1680" s="63" t="s">
        <v>1871</v>
      </c>
      <c r="C1680" s="61"/>
      <c r="D1680" s="61"/>
    </row>
    <row r="1681" spans="1:4" ht="24.6" customHeight="1" thickBot="1" x14ac:dyDescent="0.25">
      <c r="A1681" s="914" t="s">
        <v>2724</v>
      </c>
      <c r="B1681" s="915"/>
      <c r="C1681" s="61"/>
      <c r="D1681" s="61"/>
    </row>
    <row r="1682" spans="1:4" ht="24.6" customHeight="1" thickBot="1" x14ac:dyDescent="0.25">
      <c r="A1682" s="911" t="s">
        <v>140</v>
      </c>
      <c r="B1682" s="912"/>
      <c r="C1682" s="61"/>
      <c r="D1682" s="61"/>
    </row>
    <row r="1683" spans="1:4" ht="24.6" customHeight="1" thickBot="1" x14ac:dyDescent="0.25">
      <c r="A1683" s="62" t="s">
        <v>2725</v>
      </c>
      <c r="B1683" s="63" t="s">
        <v>1069</v>
      </c>
      <c r="C1683" s="61"/>
      <c r="D1683" s="61"/>
    </row>
    <row r="1684" spans="1:4" ht="24.6" customHeight="1" thickBot="1" x14ac:dyDescent="0.25">
      <c r="A1684" s="62" t="s">
        <v>2726</v>
      </c>
      <c r="B1684" s="63" t="s">
        <v>1071</v>
      </c>
      <c r="C1684" s="61"/>
      <c r="D1684" s="61"/>
    </row>
    <row r="1685" spans="1:4" ht="24.6" customHeight="1" thickBot="1" x14ac:dyDescent="0.25">
      <c r="A1685" s="62" t="s">
        <v>2727</v>
      </c>
      <c r="B1685" s="63" t="s">
        <v>1073</v>
      </c>
      <c r="C1685" s="61"/>
      <c r="D1685" s="61"/>
    </row>
    <row r="1686" spans="1:4" ht="24.6" customHeight="1" thickBot="1" x14ac:dyDescent="0.25">
      <c r="A1686" s="62" t="s">
        <v>2728</v>
      </c>
      <c r="B1686" s="63" t="s">
        <v>1075</v>
      </c>
      <c r="C1686" s="61"/>
      <c r="D1686" s="61"/>
    </row>
    <row r="1687" spans="1:4" ht="24.6" customHeight="1" thickBot="1" x14ac:dyDescent="0.25">
      <c r="A1687" s="62" t="s">
        <v>2729</v>
      </c>
      <c r="B1687" s="63" t="s">
        <v>1369</v>
      </c>
      <c r="C1687" s="61"/>
      <c r="D1687" s="61"/>
    </row>
    <row r="1688" spans="1:4" ht="24.6" customHeight="1" thickBot="1" x14ac:dyDescent="0.25">
      <c r="A1688" s="62" t="s">
        <v>2730</v>
      </c>
      <c r="B1688" s="63" t="s">
        <v>1411</v>
      </c>
      <c r="C1688" s="61"/>
      <c r="D1688" s="61"/>
    </row>
    <row r="1689" spans="1:4" ht="24.6" customHeight="1" thickBot="1" x14ac:dyDescent="0.25">
      <c r="A1689" s="62" t="s">
        <v>2731</v>
      </c>
      <c r="B1689" s="63" t="s">
        <v>1882</v>
      </c>
      <c r="C1689" s="61"/>
      <c r="D1689" s="61"/>
    </row>
    <row r="1690" spans="1:4" ht="24.6" customHeight="1" thickBot="1" x14ac:dyDescent="0.25">
      <c r="A1690" s="62" t="s">
        <v>2732</v>
      </c>
      <c r="B1690" s="63" t="s">
        <v>1081</v>
      </c>
      <c r="C1690" s="61"/>
      <c r="D1690" s="61"/>
    </row>
    <row r="1691" spans="1:4" ht="24.6" customHeight="1" thickBot="1" x14ac:dyDescent="0.25">
      <c r="A1691" s="62" t="s">
        <v>2733</v>
      </c>
      <c r="B1691" s="63" t="s">
        <v>2616</v>
      </c>
      <c r="C1691" s="61"/>
      <c r="D1691" s="61"/>
    </row>
    <row r="1692" spans="1:4" ht="24.6" customHeight="1" thickBot="1" x14ac:dyDescent="0.25">
      <c r="A1692" s="62" t="s">
        <v>2734</v>
      </c>
      <c r="B1692" s="63" t="s">
        <v>1688</v>
      </c>
      <c r="C1692" s="61"/>
      <c r="D1692" s="61"/>
    </row>
    <row r="1693" spans="1:4" ht="24.6" customHeight="1" thickBot="1" x14ac:dyDescent="0.25">
      <c r="A1693" s="62" t="s">
        <v>2735</v>
      </c>
      <c r="B1693" s="63" t="s">
        <v>2620</v>
      </c>
      <c r="C1693" s="61"/>
      <c r="D1693" s="61"/>
    </row>
    <row r="1694" spans="1:4" ht="24.6" customHeight="1" thickBot="1" x14ac:dyDescent="0.25">
      <c r="A1694" s="62" t="s">
        <v>2736</v>
      </c>
      <c r="B1694" s="63" t="s">
        <v>2622</v>
      </c>
      <c r="C1694" s="61"/>
      <c r="D1694" s="61"/>
    </row>
    <row r="1695" spans="1:4" ht="24.6" customHeight="1" thickBot="1" x14ac:dyDescent="0.25">
      <c r="A1695" s="911" t="s">
        <v>2623</v>
      </c>
      <c r="B1695" s="912"/>
      <c r="C1695" s="61"/>
      <c r="D1695" s="61"/>
    </row>
    <row r="1696" spans="1:4" ht="24.6" customHeight="1" thickBot="1" x14ac:dyDescent="0.25">
      <c r="A1696" s="62" t="s">
        <v>2737</v>
      </c>
      <c r="B1696" s="63" t="s">
        <v>2625</v>
      </c>
      <c r="C1696" s="61"/>
      <c r="D1696" s="61"/>
    </row>
    <row r="1697" spans="1:4" ht="24.6" customHeight="1" thickBot="1" x14ac:dyDescent="0.25">
      <c r="A1697" s="62" t="s">
        <v>2738</v>
      </c>
      <c r="B1697" s="63" t="s">
        <v>2627</v>
      </c>
      <c r="C1697" s="61"/>
      <c r="D1697" s="61"/>
    </row>
    <row r="1698" spans="1:4" ht="24.6" customHeight="1" thickBot="1" x14ac:dyDescent="0.25">
      <c r="A1698" s="62" t="s">
        <v>2739</v>
      </c>
      <c r="B1698" s="63" t="s">
        <v>2740</v>
      </c>
      <c r="C1698" s="61"/>
      <c r="D1698" s="61"/>
    </row>
    <row r="1699" spans="1:4" ht="24.6" customHeight="1" thickBot="1" x14ac:dyDescent="0.25">
      <c r="A1699" s="62" t="s">
        <v>2741</v>
      </c>
      <c r="B1699" s="63" t="s">
        <v>2705</v>
      </c>
      <c r="C1699" s="61"/>
      <c r="D1699" s="61"/>
    </row>
    <row r="1700" spans="1:4" ht="24.6" customHeight="1" thickBot="1" x14ac:dyDescent="0.25">
      <c r="A1700" s="62" t="s">
        <v>2742</v>
      </c>
      <c r="B1700" s="63" t="s">
        <v>2707</v>
      </c>
      <c r="C1700" s="61"/>
      <c r="D1700" s="61"/>
    </row>
    <row r="1701" spans="1:4" ht="24.6" customHeight="1" thickBot="1" x14ac:dyDescent="0.25">
      <c r="A1701" s="62" t="s">
        <v>2743</v>
      </c>
      <c r="B1701" s="63" t="s">
        <v>2744</v>
      </c>
      <c r="C1701" s="61"/>
      <c r="D1701" s="61"/>
    </row>
    <row r="1702" spans="1:4" ht="24.6" customHeight="1" thickBot="1" x14ac:dyDescent="0.25">
      <c r="A1702" s="62" t="s">
        <v>2745</v>
      </c>
      <c r="B1702" s="63" t="s">
        <v>2746</v>
      </c>
      <c r="C1702" s="61"/>
      <c r="D1702" s="61"/>
    </row>
    <row r="1703" spans="1:4" ht="24.6" customHeight="1" thickBot="1" x14ac:dyDescent="0.25">
      <c r="A1703" s="62" t="s">
        <v>2747</v>
      </c>
      <c r="B1703" s="63" t="s">
        <v>2748</v>
      </c>
      <c r="C1703" s="61"/>
      <c r="D1703" s="61"/>
    </row>
    <row r="1704" spans="1:4" ht="24.6" customHeight="1" thickBot="1" x14ac:dyDescent="0.25">
      <c r="A1704" s="62" t="s">
        <v>2749</v>
      </c>
      <c r="B1704" s="63" t="s">
        <v>2750</v>
      </c>
      <c r="C1704" s="61"/>
      <c r="D1704" s="61"/>
    </row>
    <row r="1705" spans="1:4" ht="24.6" customHeight="1" thickBot="1" x14ac:dyDescent="0.25">
      <c r="A1705" s="62" t="s">
        <v>2751</v>
      </c>
      <c r="B1705" s="63" t="s">
        <v>2752</v>
      </c>
      <c r="C1705" s="61"/>
      <c r="D1705" s="61"/>
    </row>
    <row r="1706" spans="1:4" ht="24.6" customHeight="1" thickBot="1" x14ac:dyDescent="0.25">
      <c r="A1706" s="62" t="s">
        <v>2753</v>
      </c>
      <c r="B1706" s="63" t="s">
        <v>1522</v>
      </c>
      <c r="C1706" s="61"/>
      <c r="D1706" s="61"/>
    </row>
    <row r="1707" spans="1:4" ht="24.6" customHeight="1" thickBot="1" x14ac:dyDescent="0.25">
      <c r="A1707" s="62" t="s">
        <v>2754</v>
      </c>
      <c r="B1707" s="63" t="s">
        <v>2755</v>
      </c>
      <c r="C1707" s="61"/>
      <c r="D1707" s="61"/>
    </row>
    <row r="1708" spans="1:4" ht="24.6" customHeight="1" thickBot="1" x14ac:dyDescent="0.25">
      <c r="A1708" s="62" t="s">
        <v>2756</v>
      </c>
      <c r="B1708" s="63" t="s">
        <v>2701</v>
      </c>
      <c r="C1708" s="61"/>
      <c r="D1708" s="61"/>
    </row>
    <row r="1709" spans="1:4" ht="24.6" customHeight="1" thickBot="1" x14ac:dyDescent="0.25">
      <c r="A1709" s="62" t="s">
        <v>2757</v>
      </c>
      <c r="B1709" s="63" t="s">
        <v>715</v>
      </c>
      <c r="C1709" s="61"/>
      <c r="D1709" s="61"/>
    </row>
    <row r="1710" spans="1:4" ht="24.6" customHeight="1" thickBot="1" x14ac:dyDescent="0.25">
      <c r="A1710" s="62" t="s">
        <v>2758</v>
      </c>
      <c r="B1710" s="63" t="s">
        <v>2714</v>
      </c>
      <c r="C1710" s="61"/>
      <c r="D1710" s="61"/>
    </row>
    <row r="1711" spans="1:4" ht="24.6" customHeight="1" thickBot="1" x14ac:dyDescent="0.25">
      <c r="A1711" s="62" t="s">
        <v>2759</v>
      </c>
      <c r="B1711" s="63" t="s">
        <v>2716</v>
      </c>
      <c r="C1711" s="61"/>
      <c r="D1711" s="61"/>
    </row>
    <row r="1712" spans="1:4" ht="24.6" customHeight="1" thickBot="1" x14ac:dyDescent="0.25">
      <c r="A1712" s="62" t="s">
        <v>2760</v>
      </c>
      <c r="B1712" s="63" t="s">
        <v>2720</v>
      </c>
      <c r="C1712" s="61"/>
      <c r="D1712" s="61"/>
    </row>
    <row r="1713" spans="1:4" ht="24.6" customHeight="1" thickBot="1" x14ac:dyDescent="0.25">
      <c r="A1713" s="62" t="s">
        <v>2761</v>
      </c>
      <c r="B1713" s="63" t="s">
        <v>2762</v>
      </c>
      <c r="C1713" s="61"/>
      <c r="D1713" s="61"/>
    </row>
    <row r="1714" spans="1:4" ht="24.6" customHeight="1" thickBot="1" x14ac:dyDescent="0.25">
      <c r="A1714" s="62" t="s">
        <v>2763</v>
      </c>
      <c r="B1714" s="63" t="s">
        <v>2764</v>
      </c>
      <c r="C1714" s="61"/>
      <c r="D1714" s="61"/>
    </row>
    <row r="1715" spans="1:4" ht="24.6" customHeight="1" thickBot="1" x14ac:dyDescent="0.25">
      <c r="A1715" s="62" t="s">
        <v>2765</v>
      </c>
      <c r="B1715" s="63" t="s">
        <v>2766</v>
      </c>
      <c r="C1715" s="61"/>
      <c r="D1715" s="61"/>
    </row>
    <row r="1716" spans="1:4" ht="24.6" customHeight="1" thickBot="1" x14ac:dyDescent="0.25">
      <c r="A1716" s="62" t="s">
        <v>2767</v>
      </c>
      <c r="B1716" s="63" t="s">
        <v>2768</v>
      </c>
      <c r="C1716" s="61"/>
      <c r="D1716" s="61"/>
    </row>
    <row r="1717" spans="1:4" ht="24.6" customHeight="1" thickBot="1" x14ac:dyDescent="0.25">
      <c r="A1717" s="62" t="s">
        <v>2769</v>
      </c>
      <c r="B1717" s="63" t="s">
        <v>2770</v>
      </c>
      <c r="C1717" s="61"/>
      <c r="D1717" s="61"/>
    </row>
    <row r="1718" spans="1:4" ht="24.6" customHeight="1" thickBot="1" x14ac:dyDescent="0.25">
      <c r="A1718" s="62" t="s">
        <v>2771</v>
      </c>
      <c r="B1718" s="63" t="s">
        <v>2772</v>
      </c>
      <c r="C1718" s="61"/>
      <c r="D1718" s="61"/>
    </row>
    <row r="1719" spans="1:4" ht="24.6" customHeight="1" thickBot="1" x14ac:dyDescent="0.25">
      <c r="A1719" s="62" t="s">
        <v>2773</v>
      </c>
      <c r="B1719" s="63" t="s">
        <v>2659</v>
      </c>
      <c r="C1719" s="61"/>
      <c r="D1719" s="61"/>
    </row>
    <row r="1720" spans="1:4" ht="24.6" customHeight="1" thickBot="1" x14ac:dyDescent="0.25">
      <c r="A1720" s="62" t="s">
        <v>2774</v>
      </c>
      <c r="B1720" s="63" t="s">
        <v>2649</v>
      </c>
      <c r="C1720" s="61"/>
      <c r="D1720" s="61"/>
    </row>
    <row r="1721" spans="1:4" ht="24.6" customHeight="1" thickBot="1" x14ac:dyDescent="0.25">
      <c r="A1721" s="62" t="s">
        <v>2775</v>
      </c>
      <c r="B1721" s="63" t="s">
        <v>2776</v>
      </c>
      <c r="C1721" s="61"/>
      <c r="D1721" s="61"/>
    </row>
    <row r="1722" spans="1:4" ht="24.6" customHeight="1" thickBot="1" x14ac:dyDescent="0.25">
      <c r="A1722" s="62" t="s">
        <v>2777</v>
      </c>
      <c r="B1722" s="63" t="s">
        <v>2778</v>
      </c>
      <c r="C1722" s="61"/>
      <c r="D1722" s="61"/>
    </row>
    <row r="1723" spans="1:4" ht="24.6" customHeight="1" thickBot="1" x14ac:dyDescent="0.25">
      <c r="A1723" s="62" t="s">
        <v>2779</v>
      </c>
      <c r="B1723" s="63" t="s">
        <v>2641</v>
      </c>
      <c r="C1723" s="61"/>
      <c r="D1723" s="61"/>
    </row>
    <row r="1724" spans="1:4" ht="24.6" customHeight="1" thickBot="1" x14ac:dyDescent="0.25">
      <c r="A1724" s="62" t="s">
        <v>2780</v>
      </c>
      <c r="B1724" s="63" t="s">
        <v>2781</v>
      </c>
      <c r="C1724" s="61"/>
      <c r="D1724" s="61"/>
    </row>
    <row r="1725" spans="1:4" ht="24.6" customHeight="1" thickBot="1" x14ac:dyDescent="0.25">
      <c r="A1725" s="62" t="s">
        <v>2782</v>
      </c>
      <c r="B1725" s="63" t="s">
        <v>2783</v>
      </c>
      <c r="C1725" s="61"/>
      <c r="D1725" s="61"/>
    </row>
    <row r="1726" spans="1:4" ht="24.6" customHeight="1" thickBot="1" x14ac:dyDescent="0.25">
      <c r="A1726" s="62" t="s">
        <v>2784</v>
      </c>
      <c r="B1726" s="63" t="s">
        <v>2643</v>
      </c>
      <c r="C1726" s="61"/>
      <c r="D1726" s="61"/>
    </row>
    <row r="1727" spans="1:4" ht="24.6" customHeight="1" thickBot="1" x14ac:dyDescent="0.25">
      <c r="A1727" s="62" t="s">
        <v>2785</v>
      </c>
      <c r="B1727" s="63" t="s">
        <v>2645</v>
      </c>
      <c r="C1727" s="61"/>
      <c r="D1727" s="61"/>
    </row>
    <row r="1728" spans="1:4" ht="24.6" customHeight="1" thickBot="1" x14ac:dyDescent="0.25">
      <c r="A1728" s="62" t="s">
        <v>2786</v>
      </c>
      <c r="B1728" s="63" t="s">
        <v>2787</v>
      </c>
      <c r="C1728" s="61"/>
      <c r="D1728" s="61"/>
    </row>
    <row r="1729" spans="1:4" ht="24.6" customHeight="1" thickBot="1" x14ac:dyDescent="0.25">
      <c r="A1729" s="62" t="s">
        <v>2788</v>
      </c>
      <c r="B1729" s="63" t="s">
        <v>2789</v>
      </c>
      <c r="C1729" s="61"/>
      <c r="D1729" s="61"/>
    </row>
    <row r="1730" spans="1:4" ht="24.6" customHeight="1" thickBot="1" x14ac:dyDescent="0.25">
      <c r="A1730" s="62" t="s">
        <v>2790</v>
      </c>
      <c r="B1730" s="63" t="s">
        <v>2791</v>
      </c>
      <c r="C1730" s="61"/>
      <c r="D1730" s="61"/>
    </row>
    <row r="1731" spans="1:4" ht="24.6" customHeight="1" thickBot="1" x14ac:dyDescent="0.25">
      <c r="A1731" s="62" t="s">
        <v>2792</v>
      </c>
      <c r="B1731" s="63" t="s">
        <v>2793</v>
      </c>
      <c r="C1731" s="61"/>
      <c r="D1731" s="61"/>
    </row>
    <row r="1732" spans="1:4" ht="24.6" customHeight="1" thickBot="1" x14ac:dyDescent="0.25">
      <c r="A1732" s="62" t="s">
        <v>2794</v>
      </c>
      <c r="B1732" s="63" t="s">
        <v>2669</v>
      </c>
      <c r="C1732" s="61"/>
      <c r="D1732" s="61"/>
    </row>
    <row r="1733" spans="1:4" ht="24.6" customHeight="1" thickBot="1" x14ac:dyDescent="0.25">
      <c r="A1733" s="62" t="s">
        <v>2795</v>
      </c>
      <c r="B1733" s="63" t="s">
        <v>2796</v>
      </c>
      <c r="C1733" s="61"/>
      <c r="D1733" s="61"/>
    </row>
    <row r="1734" spans="1:4" ht="24.6" customHeight="1" thickBot="1" x14ac:dyDescent="0.25">
      <c r="A1734" s="62" t="s">
        <v>2797</v>
      </c>
      <c r="B1734" s="63" t="s">
        <v>2798</v>
      </c>
      <c r="C1734" s="61"/>
      <c r="D1734" s="61"/>
    </row>
    <row r="1735" spans="1:4" ht="24.6" customHeight="1" thickBot="1" x14ac:dyDescent="0.25">
      <c r="A1735" s="62" t="s">
        <v>2799</v>
      </c>
      <c r="B1735" s="63" t="s">
        <v>2711</v>
      </c>
      <c r="C1735" s="61"/>
      <c r="D1735" s="61"/>
    </row>
    <row r="1736" spans="1:4" ht="24.6" customHeight="1" thickBot="1" x14ac:dyDescent="0.25">
      <c r="A1736" s="62" t="s">
        <v>2800</v>
      </c>
      <c r="B1736" s="63" t="s">
        <v>2801</v>
      </c>
      <c r="C1736" s="61"/>
      <c r="D1736" s="61"/>
    </row>
    <row r="1737" spans="1:4" ht="24.6" customHeight="1" thickBot="1" x14ac:dyDescent="0.25">
      <c r="A1737" s="62" t="s">
        <v>2802</v>
      </c>
      <c r="B1737" s="63" t="s">
        <v>2803</v>
      </c>
      <c r="C1737" s="61"/>
      <c r="D1737" s="61"/>
    </row>
    <row r="1738" spans="1:4" ht="24.6" customHeight="1" thickBot="1" x14ac:dyDescent="0.25">
      <c r="A1738" s="62" t="s">
        <v>2804</v>
      </c>
      <c r="B1738" s="63" t="s">
        <v>2805</v>
      </c>
      <c r="C1738" s="61"/>
      <c r="D1738" s="61"/>
    </row>
    <row r="1739" spans="1:4" ht="24.6" customHeight="1" thickBot="1" x14ac:dyDescent="0.25">
      <c r="A1739" s="62" t="s">
        <v>2806</v>
      </c>
      <c r="B1739" s="63" t="s">
        <v>2807</v>
      </c>
      <c r="C1739" s="61"/>
      <c r="D1739" s="61"/>
    </row>
    <row r="1740" spans="1:4" ht="24.6" customHeight="1" thickBot="1" x14ac:dyDescent="0.25">
      <c r="A1740" s="911" t="s">
        <v>1107</v>
      </c>
      <c r="B1740" s="912"/>
      <c r="C1740" s="61"/>
      <c r="D1740" s="61"/>
    </row>
    <row r="1741" spans="1:4" ht="24.6" customHeight="1" thickBot="1" x14ac:dyDescent="0.25">
      <c r="A1741" s="62" t="s">
        <v>2808</v>
      </c>
      <c r="B1741" s="63" t="s">
        <v>2809</v>
      </c>
      <c r="C1741" s="61"/>
      <c r="D1741" s="61"/>
    </row>
    <row r="1742" spans="1:4" ht="24.6" customHeight="1" thickBot="1" x14ac:dyDescent="0.25">
      <c r="A1742" s="914" t="s">
        <v>2810</v>
      </c>
      <c r="B1742" s="915"/>
      <c r="C1742" s="61"/>
      <c r="D1742" s="61"/>
    </row>
    <row r="1743" spans="1:4" ht="24.6" customHeight="1" thickBot="1" x14ac:dyDescent="0.25">
      <c r="A1743" s="911" t="s">
        <v>415</v>
      </c>
      <c r="B1743" s="912"/>
      <c r="C1743" s="61"/>
      <c r="D1743" s="61"/>
    </row>
    <row r="1744" spans="1:4" ht="24.6" customHeight="1" thickBot="1" x14ac:dyDescent="0.25">
      <c r="A1744" s="911" t="s">
        <v>2811</v>
      </c>
      <c r="B1744" s="912"/>
      <c r="C1744" s="61"/>
      <c r="D1744" s="61"/>
    </row>
    <row r="1745" spans="1:4" ht="24.6" customHeight="1" thickBot="1" x14ac:dyDescent="0.25">
      <c r="A1745" s="62" t="s">
        <v>2812</v>
      </c>
      <c r="B1745" s="63" t="s">
        <v>2813</v>
      </c>
      <c r="C1745" s="61"/>
      <c r="D1745" s="61"/>
    </row>
    <row r="1746" spans="1:4" ht="24.6" customHeight="1" thickBot="1" x14ac:dyDescent="0.25">
      <c r="A1746" s="62" t="s">
        <v>2814</v>
      </c>
      <c r="B1746" s="63" t="s">
        <v>2815</v>
      </c>
      <c r="C1746" s="61"/>
      <c r="D1746" s="61"/>
    </row>
    <row r="1747" spans="1:4" ht="24.6" customHeight="1" thickBot="1" x14ac:dyDescent="0.25">
      <c r="A1747" s="62" t="s">
        <v>2816</v>
      </c>
      <c r="B1747" s="63" t="s">
        <v>2817</v>
      </c>
      <c r="C1747" s="61"/>
      <c r="D1747" s="61"/>
    </row>
    <row r="1748" spans="1:4" ht="24.6" customHeight="1" thickBot="1" x14ac:dyDescent="0.25">
      <c r="A1748" s="62" t="s">
        <v>2818</v>
      </c>
      <c r="B1748" s="63" t="s">
        <v>2819</v>
      </c>
      <c r="C1748" s="61"/>
      <c r="D1748" s="61"/>
    </row>
    <row r="1749" spans="1:4" ht="24.6" customHeight="1" thickBot="1" x14ac:dyDescent="0.25">
      <c r="A1749" s="62" t="s">
        <v>2820</v>
      </c>
      <c r="B1749" s="63" t="s">
        <v>2821</v>
      </c>
      <c r="C1749" s="61"/>
      <c r="D1749" s="61"/>
    </row>
    <row r="1750" spans="1:4" ht="24.6" customHeight="1" thickBot="1" x14ac:dyDescent="0.25">
      <c r="A1750" s="62" t="s">
        <v>2822</v>
      </c>
      <c r="B1750" s="63" t="s">
        <v>2625</v>
      </c>
      <c r="C1750" s="61"/>
      <c r="D1750" s="61"/>
    </row>
    <row r="1751" spans="1:4" ht="24.6" customHeight="1" thickBot="1" x14ac:dyDescent="0.25">
      <c r="A1751" s="62" t="s">
        <v>2823</v>
      </c>
      <c r="B1751" s="63" t="s">
        <v>2627</v>
      </c>
      <c r="C1751" s="61"/>
      <c r="D1751" s="61"/>
    </row>
    <row r="1752" spans="1:4" ht="24.6" customHeight="1" thickBot="1" x14ac:dyDescent="0.25">
      <c r="A1752" s="62" t="s">
        <v>2824</v>
      </c>
      <c r="B1752" s="63" t="s">
        <v>2825</v>
      </c>
      <c r="C1752" s="61"/>
      <c r="D1752" s="61"/>
    </row>
    <row r="1753" spans="1:4" ht="24.6" customHeight="1" thickBot="1" x14ac:dyDescent="0.25">
      <c r="A1753" s="62" t="s">
        <v>2826</v>
      </c>
      <c r="B1753" s="63" t="s">
        <v>2827</v>
      </c>
      <c r="C1753" s="61"/>
      <c r="D1753" s="61"/>
    </row>
    <row r="1754" spans="1:4" ht="24.6" customHeight="1" thickBot="1" x14ac:dyDescent="0.25">
      <c r="A1754" s="62" t="s">
        <v>2828</v>
      </c>
      <c r="B1754" s="63" t="s">
        <v>2705</v>
      </c>
      <c r="C1754" s="61"/>
      <c r="D1754" s="61"/>
    </row>
    <row r="1755" spans="1:4" ht="24.6" customHeight="1" thickBot="1" x14ac:dyDescent="0.25">
      <c r="A1755" s="62" t="s">
        <v>2829</v>
      </c>
      <c r="B1755" s="63" t="s">
        <v>2830</v>
      </c>
      <c r="C1755" s="61"/>
      <c r="D1755" s="61"/>
    </row>
    <row r="1756" spans="1:4" ht="24.6" customHeight="1" thickBot="1" x14ac:dyDescent="0.25">
      <c r="A1756" s="62" t="s">
        <v>2831</v>
      </c>
      <c r="B1756" s="63" t="s">
        <v>2832</v>
      </c>
      <c r="C1756" s="61"/>
      <c r="D1756" s="61"/>
    </row>
    <row r="1757" spans="1:4" ht="24.6" customHeight="1" thickBot="1" x14ac:dyDescent="0.25">
      <c r="A1757" s="62" t="s">
        <v>2833</v>
      </c>
      <c r="B1757" s="63" t="s">
        <v>2834</v>
      </c>
      <c r="C1757" s="61"/>
      <c r="D1757" s="61"/>
    </row>
    <row r="1758" spans="1:4" ht="24.6" customHeight="1" thickBot="1" x14ac:dyDescent="0.25">
      <c r="A1758" s="62" t="s">
        <v>2835</v>
      </c>
      <c r="B1758" s="63" t="s">
        <v>2836</v>
      </c>
      <c r="C1758" s="61"/>
      <c r="D1758" s="61"/>
    </row>
    <row r="1759" spans="1:4" ht="24.6" customHeight="1" thickBot="1" x14ac:dyDescent="0.25">
      <c r="A1759" s="62" t="s">
        <v>2837</v>
      </c>
      <c r="B1759" s="63" t="s">
        <v>2838</v>
      </c>
      <c r="C1759" s="61"/>
      <c r="D1759" s="61"/>
    </row>
    <row r="1760" spans="1:4" ht="24.6" customHeight="1" thickBot="1" x14ac:dyDescent="0.25">
      <c r="A1760" s="62" t="s">
        <v>2839</v>
      </c>
      <c r="B1760" s="63" t="s">
        <v>2840</v>
      </c>
      <c r="C1760" s="61"/>
      <c r="D1760" s="61"/>
    </row>
    <row r="1761" spans="1:4" ht="24.6" customHeight="1" thickBot="1" x14ac:dyDescent="0.25">
      <c r="A1761" s="62" t="s">
        <v>2841</v>
      </c>
      <c r="B1761" s="63" t="s">
        <v>2842</v>
      </c>
      <c r="C1761" s="61"/>
      <c r="D1761" s="61"/>
    </row>
    <row r="1762" spans="1:4" ht="24.6" customHeight="1" thickBot="1" x14ac:dyDescent="0.25">
      <c r="A1762" s="62" t="s">
        <v>2843</v>
      </c>
      <c r="B1762" s="63" t="s">
        <v>2707</v>
      </c>
      <c r="C1762" s="61"/>
      <c r="D1762" s="61"/>
    </row>
    <row r="1763" spans="1:4" ht="24.6" customHeight="1" thickBot="1" x14ac:dyDescent="0.25">
      <c r="A1763" s="62" t="s">
        <v>2844</v>
      </c>
      <c r="B1763" s="63" t="s">
        <v>2744</v>
      </c>
      <c r="C1763" s="61"/>
      <c r="D1763" s="61"/>
    </row>
    <row r="1764" spans="1:4" ht="24.6" customHeight="1" thickBot="1" x14ac:dyDescent="0.25">
      <c r="A1764" s="62" t="s">
        <v>2845</v>
      </c>
      <c r="B1764" s="63" t="s">
        <v>2748</v>
      </c>
      <c r="C1764" s="61"/>
      <c r="D1764" s="61"/>
    </row>
    <row r="1765" spans="1:4" ht="24.6" customHeight="1" thickBot="1" x14ac:dyDescent="0.25">
      <c r="A1765" s="62" t="s">
        <v>2846</v>
      </c>
      <c r="B1765" s="63" t="s">
        <v>2847</v>
      </c>
      <c r="C1765" s="61"/>
      <c r="D1765" s="61"/>
    </row>
    <row r="1766" spans="1:4" ht="24.6" customHeight="1" thickBot="1" x14ac:dyDescent="0.25">
      <c r="A1766" s="62" t="s">
        <v>2848</v>
      </c>
      <c r="B1766" s="63" t="s">
        <v>2849</v>
      </c>
      <c r="C1766" s="61"/>
      <c r="D1766" s="61"/>
    </row>
    <row r="1767" spans="1:4" ht="24.6" customHeight="1" thickBot="1" x14ac:dyDescent="0.25">
      <c r="A1767" s="62" t="s">
        <v>2850</v>
      </c>
      <c r="B1767" s="63" t="s">
        <v>1522</v>
      </c>
      <c r="C1767" s="61"/>
      <c r="D1767" s="61"/>
    </row>
    <row r="1768" spans="1:4" ht="24.6" customHeight="1" thickBot="1" x14ac:dyDescent="0.25">
      <c r="A1768" s="62" t="s">
        <v>2851</v>
      </c>
      <c r="B1768" s="63" t="s">
        <v>2755</v>
      </c>
      <c r="C1768" s="61"/>
      <c r="D1768" s="61"/>
    </row>
    <row r="1769" spans="1:4" ht="24.6" customHeight="1" thickBot="1" x14ac:dyDescent="0.25">
      <c r="A1769" s="62" t="s">
        <v>2852</v>
      </c>
      <c r="B1769" s="63" t="s">
        <v>2701</v>
      </c>
      <c r="C1769" s="61"/>
      <c r="D1769" s="61"/>
    </row>
    <row r="1770" spans="1:4" ht="24.6" customHeight="1" thickBot="1" x14ac:dyDescent="0.25">
      <c r="A1770" s="62" t="s">
        <v>2853</v>
      </c>
      <c r="B1770" s="63" t="s">
        <v>2633</v>
      </c>
      <c r="C1770" s="61"/>
      <c r="D1770" s="61"/>
    </row>
    <row r="1771" spans="1:4" ht="24.6" customHeight="1" thickBot="1" x14ac:dyDescent="0.25">
      <c r="A1771" s="62" t="s">
        <v>2854</v>
      </c>
      <c r="B1771" s="63" t="s">
        <v>2635</v>
      </c>
      <c r="C1771" s="61"/>
      <c r="D1771" s="61"/>
    </row>
    <row r="1772" spans="1:4" ht="24.6" customHeight="1" thickBot="1" x14ac:dyDescent="0.25">
      <c r="A1772" s="62" t="s">
        <v>2855</v>
      </c>
      <c r="B1772" s="63" t="s">
        <v>2637</v>
      </c>
      <c r="C1772" s="61"/>
      <c r="D1772" s="61"/>
    </row>
    <row r="1773" spans="1:4" ht="24.6" customHeight="1" thickBot="1" x14ac:dyDescent="0.25">
      <c r="A1773" s="62" t="s">
        <v>2856</v>
      </c>
      <c r="B1773" s="63" t="s">
        <v>2639</v>
      </c>
      <c r="C1773" s="61"/>
      <c r="D1773" s="61"/>
    </row>
    <row r="1774" spans="1:4" ht="24.6" customHeight="1" thickBot="1" x14ac:dyDescent="0.25">
      <c r="A1774" s="62" t="s">
        <v>2857</v>
      </c>
      <c r="B1774" s="63" t="s">
        <v>2651</v>
      </c>
      <c r="C1774" s="61"/>
      <c r="D1774" s="61"/>
    </row>
    <row r="1775" spans="1:4" ht="24.6" customHeight="1" thickBot="1" x14ac:dyDescent="0.25">
      <c r="A1775" s="62" t="s">
        <v>2858</v>
      </c>
      <c r="B1775" s="63" t="s">
        <v>2653</v>
      </c>
      <c r="C1775" s="61"/>
      <c r="D1775" s="61"/>
    </row>
    <row r="1776" spans="1:4" ht="24.6" customHeight="1" thickBot="1" x14ac:dyDescent="0.25">
      <c r="A1776" s="62" t="s">
        <v>2859</v>
      </c>
      <c r="B1776" s="63" t="s">
        <v>2657</v>
      </c>
      <c r="C1776" s="61"/>
      <c r="D1776" s="61"/>
    </row>
    <row r="1777" spans="1:4" ht="24.6" customHeight="1" thickBot="1" x14ac:dyDescent="0.25">
      <c r="A1777" s="62" t="s">
        <v>2860</v>
      </c>
      <c r="B1777" s="63" t="s">
        <v>2861</v>
      </c>
      <c r="C1777" s="61"/>
      <c r="D1777" s="61"/>
    </row>
    <row r="1778" spans="1:4" ht="24.6" customHeight="1" thickBot="1" x14ac:dyDescent="0.25">
      <c r="A1778" s="62" t="s">
        <v>2862</v>
      </c>
      <c r="B1778" s="63" t="s">
        <v>2661</v>
      </c>
      <c r="C1778" s="61"/>
      <c r="D1778" s="61"/>
    </row>
    <row r="1779" spans="1:4" ht="24.6" customHeight="1" thickBot="1" x14ac:dyDescent="0.25">
      <c r="A1779" s="62" t="s">
        <v>2863</v>
      </c>
      <c r="B1779" s="63" t="s">
        <v>2663</v>
      </c>
      <c r="C1779" s="61"/>
      <c r="D1779" s="61"/>
    </row>
    <row r="1780" spans="1:4" ht="24.6" customHeight="1" thickBot="1" x14ac:dyDescent="0.25">
      <c r="A1780" s="62" t="s">
        <v>2864</v>
      </c>
      <c r="B1780" s="63" t="s">
        <v>2665</v>
      </c>
      <c r="C1780" s="61"/>
      <c r="D1780" s="61"/>
    </row>
    <row r="1781" spans="1:4" ht="24.6" customHeight="1" thickBot="1" x14ac:dyDescent="0.25">
      <c r="A1781" s="62" t="s">
        <v>2865</v>
      </c>
      <c r="B1781" s="63" t="s">
        <v>2667</v>
      </c>
      <c r="C1781" s="61"/>
      <c r="D1781" s="61"/>
    </row>
    <row r="1782" spans="1:4" ht="24.6" customHeight="1" thickBot="1" x14ac:dyDescent="0.25">
      <c r="A1782" s="62" t="s">
        <v>2866</v>
      </c>
      <c r="B1782" s="63" t="s">
        <v>2673</v>
      </c>
      <c r="C1782" s="61"/>
      <c r="D1782" s="61"/>
    </row>
    <row r="1783" spans="1:4" ht="24.6" customHeight="1" thickBot="1" x14ac:dyDescent="0.25">
      <c r="A1783" s="62" t="s">
        <v>2867</v>
      </c>
      <c r="B1783" s="63" t="s">
        <v>2675</v>
      </c>
      <c r="C1783" s="61"/>
      <c r="D1783" s="61"/>
    </row>
    <row r="1784" spans="1:4" ht="24.6" customHeight="1" thickBot="1" x14ac:dyDescent="0.25">
      <c r="A1784" s="62" t="s">
        <v>2868</v>
      </c>
      <c r="B1784" s="63" t="s">
        <v>2677</v>
      </c>
      <c r="C1784" s="61"/>
      <c r="D1784" s="61"/>
    </row>
    <row r="1785" spans="1:4" ht="24.6" customHeight="1" thickBot="1" x14ac:dyDescent="0.25">
      <c r="A1785" s="62" t="s">
        <v>2869</v>
      </c>
      <c r="B1785" s="63" t="s">
        <v>2679</v>
      </c>
      <c r="C1785" s="61"/>
      <c r="D1785" s="61"/>
    </row>
    <row r="1786" spans="1:4" ht="24.6" customHeight="1" thickBot="1" x14ac:dyDescent="0.25">
      <c r="A1786" s="62" t="s">
        <v>2870</v>
      </c>
      <c r="B1786" s="63" t="s">
        <v>2681</v>
      </c>
      <c r="C1786" s="61"/>
      <c r="D1786" s="61"/>
    </row>
    <row r="1787" spans="1:4" ht="24.6" customHeight="1" thickBot="1" x14ac:dyDescent="0.25">
      <c r="A1787" s="62" t="s">
        <v>2871</v>
      </c>
      <c r="B1787" s="63" t="s">
        <v>2683</v>
      </c>
      <c r="C1787" s="61"/>
      <c r="D1787" s="61"/>
    </row>
    <row r="1788" spans="1:4" ht="24.6" customHeight="1" thickBot="1" x14ac:dyDescent="0.25">
      <c r="A1788" s="62" t="s">
        <v>2872</v>
      </c>
      <c r="B1788" s="63" t="s">
        <v>2685</v>
      </c>
      <c r="C1788" s="61"/>
      <c r="D1788" s="61"/>
    </row>
    <row r="1789" spans="1:4" ht="24.6" customHeight="1" thickBot="1" x14ac:dyDescent="0.25">
      <c r="A1789" s="62" t="s">
        <v>2873</v>
      </c>
      <c r="B1789" s="63" t="s">
        <v>2687</v>
      </c>
      <c r="C1789" s="61"/>
      <c r="D1789" s="61"/>
    </row>
    <row r="1790" spans="1:4" ht="24.6" customHeight="1" thickBot="1" x14ac:dyDescent="0.25">
      <c r="A1790" s="62" t="s">
        <v>2874</v>
      </c>
      <c r="B1790" s="63" t="s">
        <v>2695</v>
      </c>
      <c r="C1790" s="61"/>
      <c r="D1790" s="61"/>
    </row>
    <row r="1791" spans="1:4" ht="24.6" customHeight="1" thickBot="1" x14ac:dyDescent="0.25">
      <c r="A1791" s="62" t="s">
        <v>2875</v>
      </c>
      <c r="B1791" s="63" t="s">
        <v>2709</v>
      </c>
      <c r="C1791" s="61"/>
      <c r="D1791" s="61"/>
    </row>
    <row r="1792" spans="1:4" ht="24.6" customHeight="1" thickBot="1" x14ac:dyDescent="0.25">
      <c r="A1792" s="62" t="s">
        <v>2876</v>
      </c>
      <c r="B1792" s="63" t="s">
        <v>2764</v>
      </c>
      <c r="C1792" s="61"/>
      <c r="D1792" s="61"/>
    </row>
    <row r="1793" spans="1:4" ht="24.6" customHeight="1" thickBot="1" x14ac:dyDescent="0.25">
      <c r="A1793" s="62" t="s">
        <v>2877</v>
      </c>
      <c r="B1793" s="63" t="s">
        <v>2766</v>
      </c>
      <c r="C1793" s="61"/>
      <c r="D1793" s="61"/>
    </row>
    <row r="1794" spans="1:4" ht="24.6" customHeight="1" thickBot="1" x14ac:dyDescent="0.25">
      <c r="A1794" s="62" t="s">
        <v>2878</v>
      </c>
      <c r="B1794" s="63" t="s">
        <v>2768</v>
      </c>
      <c r="C1794" s="61"/>
      <c r="D1794" s="61"/>
    </row>
    <row r="1795" spans="1:4" ht="24.6" customHeight="1" thickBot="1" x14ac:dyDescent="0.25">
      <c r="A1795" s="62" t="s">
        <v>2879</v>
      </c>
      <c r="B1795" s="63" t="s">
        <v>2770</v>
      </c>
      <c r="C1795" s="61"/>
      <c r="D1795" s="61"/>
    </row>
    <row r="1796" spans="1:4" ht="24.6" customHeight="1" thickBot="1" x14ac:dyDescent="0.25">
      <c r="A1796" s="62" t="s">
        <v>2880</v>
      </c>
      <c r="B1796" s="63" t="s">
        <v>2772</v>
      </c>
      <c r="C1796" s="61"/>
      <c r="D1796" s="61"/>
    </row>
    <row r="1797" spans="1:4" ht="24.6" customHeight="1" thickBot="1" x14ac:dyDescent="0.25">
      <c r="A1797" s="62" t="s">
        <v>2881</v>
      </c>
      <c r="B1797" s="63" t="s">
        <v>2659</v>
      </c>
      <c r="C1797" s="61"/>
      <c r="D1797" s="61"/>
    </row>
    <row r="1798" spans="1:4" ht="24.6" customHeight="1" thickBot="1" x14ac:dyDescent="0.25">
      <c r="A1798" s="62" t="s">
        <v>2882</v>
      </c>
      <c r="B1798" s="63" t="s">
        <v>2649</v>
      </c>
      <c r="C1798" s="61"/>
      <c r="D1798" s="61"/>
    </row>
    <row r="1799" spans="1:4" ht="24.6" customHeight="1" thickBot="1" x14ac:dyDescent="0.25">
      <c r="A1799" s="62" t="s">
        <v>2883</v>
      </c>
      <c r="B1799" s="63" t="s">
        <v>2776</v>
      </c>
      <c r="C1799" s="61"/>
      <c r="D1799" s="61"/>
    </row>
    <row r="1800" spans="1:4" ht="24.6" customHeight="1" thickBot="1" x14ac:dyDescent="0.25">
      <c r="A1800" s="62" t="s">
        <v>2884</v>
      </c>
      <c r="B1800" s="63" t="s">
        <v>2778</v>
      </c>
      <c r="C1800" s="61"/>
      <c r="D1800" s="61"/>
    </row>
    <row r="1801" spans="1:4" ht="24.6" customHeight="1" thickBot="1" x14ac:dyDescent="0.25">
      <c r="A1801" s="62" t="s">
        <v>2885</v>
      </c>
      <c r="B1801" s="63" t="s">
        <v>2886</v>
      </c>
      <c r="C1801" s="61"/>
      <c r="D1801" s="61"/>
    </row>
    <row r="1802" spans="1:4" ht="24.6" customHeight="1" thickBot="1" x14ac:dyDescent="0.25">
      <c r="A1802" s="62" t="s">
        <v>2887</v>
      </c>
      <c r="B1802" s="63" t="s">
        <v>2888</v>
      </c>
      <c r="C1802" s="61"/>
      <c r="D1802" s="61"/>
    </row>
    <row r="1803" spans="1:4" ht="24.6" customHeight="1" thickBot="1" x14ac:dyDescent="0.25">
      <c r="A1803" s="62" t="s">
        <v>2889</v>
      </c>
      <c r="B1803" s="63" t="s">
        <v>2781</v>
      </c>
      <c r="C1803" s="61"/>
      <c r="D1803" s="61"/>
    </row>
    <row r="1804" spans="1:4" ht="24.6" customHeight="1" thickBot="1" x14ac:dyDescent="0.25">
      <c r="A1804" s="62" t="s">
        <v>2890</v>
      </c>
      <c r="B1804" s="63" t="s">
        <v>2891</v>
      </c>
      <c r="C1804" s="61"/>
      <c r="D1804" s="61"/>
    </row>
    <row r="1805" spans="1:4" ht="24.6" customHeight="1" thickBot="1" x14ac:dyDescent="0.25">
      <c r="A1805" s="62" t="s">
        <v>2892</v>
      </c>
      <c r="B1805" s="63" t="s">
        <v>2643</v>
      </c>
      <c r="C1805" s="61"/>
      <c r="D1805" s="61"/>
    </row>
    <row r="1806" spans="1:4" ht="24.6" customHeight="1" thickBot="1" x14ac:dyDescent="0.25">
      <c r="A1806" s="62" t="s">
        <v>2893</v>
      </c>
      <c r="B1806" s="63" t="s">
        <v>2645</v>
      </c>
      <c r="C1806" s="61"/>
      <c r="D1806" s="61"/>
    </row>
    <row r="1807" spans="1:4" ht="24.6" customHeight="1" thickBot="1" x14ac:dyDescent="0.25">
      <c r="A1807" s="62" t="s">
        <v>2894</v>
      </c>
      <c r="B1807" s="63" t="s">
        <v>2787</v>
      </c>
      <c r="C1807" s="61"/>
      <c r="D1807" s="61"/>
    </row>
    <row r="1808" spans="1:4" ht="24.6" customHeight="1" thickBot="1" x14ac:dyDescent="0.25">
      <c r="A1808" s="62" t="s">
        <v>2895</v>
      </c>
      <c r="B1808" s="63" t="s">
        <v>2791</v>
      </c>
      <c r="C1808" s="61"/>
      <c r="D1808" s="61"/>
    </row>
    <row r="1809" spans="1:4" ht="24.6" customHeight="1" thickBot="1" x14ac:dyDescent="0.25">
      <c r="A1809" s="62" t="s">
        <v>2896</v>
      </c>
      <c r="B1809" s="63" t="s">
        <v>2793</v>
      </c>
      <c r="C1809" s="61"/>
      <c r="D1809" s="61"/>
    </row>
    <row r="1810" spans="1:4" ht="24.6" customHeight="1" thickBot="1" x14ac:dyDescent="0.25">
      <c r="A1810" s="62" t="s">
        <v>2897</v>
      </c>
      <c r="B1810" s="63" t="s">
        <v>2669</v>
      </c>
      <c r="C1810" s="61"/>
      <c r="D1810" s="61"/>
    </row>
    <row r="1811" spans="1:4" ht="24.6" customHeight="1" thickBot="1" x14ac:dyDescent="0.25">
      <c r="A1811" s="62" t="s">
        <v>2898</v>
      </c>
      <c r="B1811" s="63" t="s">
        <v>2796</v>
      </c>
      <c r="C1811" s="61"/>
      <c r="D1811" s="61"/>
    </row>
    <row r="1812" spans="1:4" ht="24.6" customHeight="1" thickBot="1" x14ac:dyDescent="0.25">
      <c r="A1812" s="62" t="s">
        <v>2899</v>
      </c>
      <c r="B1812" s="63" t="s">
        <v>2711</v>
      </c>
      <c r="C1812" s="61"/>
      <c r="D1812" s="61"/>
    </row>
    <row r="1813" spans="1:4" ht="24.6" customHeight="1" thickBot="1" x14ac:dyDescent="0.25">
      <c r="A1813" s="62" t="s">
        <v>2900</v>
      </c>
      <c r="B1813" s="63" t="s">
        <v>2901</v>
      </c>
      <c r="C1813" s="61"/>
      <c r="D1813" s="61"/>
    </row>
    <row r="1814" spans="1:4" ht="24.6" customHeight="1" thickBot="1" x14ac:dyDescent="0.25">
      <c r="A1814" s="62" t="s">
        <v>2902</v>
      </c>
      <c r="B1814" s="63" t="s">
        <v>715</v>
      </c>
      <c r="C1814" s="61"/>
      <c r="D1814" s="61"/>
    </row>
    <row r="1815" spans="1:4" ht="24.6" customHeight="1" thickBot="1" x14ac:dyDescent="0.25">
      <c r="A1815" s="62" t="s">
        <v>2903</v>
      </c>
      <c r="B1815" s="63" t="s">
        <v>2714</v>
      </c>
      <c r="C1815" s="61"/>
      <c r="D1815" s="61"/>
    </row>
    <row r="1816" spans="1:4" ht="24.6" customHeight="1" thickBot="1" x14ac:dyDescent="0.25">
      <c r="A1816" s="62" t="s">
        <v>2904</v>
      </c>
      <c r="B1816" s="63" t="s">
        <v>2716</v>
      </c>
      <c r="C1816" s="61"/>
      <c r="D1816" s="61"/>
    </row>
    <row r="1817" spans="1:4" ht="24.6" customHeight="1" thickBot="1" x14ac:dyDescent="0.25">
      <c r="A1817" s="62" t="s">
        <v>2905</v>
      </c>
      <c r="B1817" s="63" t="s">
        <v>2720</v>
      </c>
      <c r="C1817" s="61"/>
      <c r="D1817" s="61"/>
    </row>
    <row r="1818" spans="1:4" ht="24.6" customHeight="1" thickBot="1" x14ac:dyDescent="0.25">
      <c r="A1818" s="62" t="s">
        <v>2906</v>
      </c>
      <c r="B1818" s="63" t="s">
        <v>2718</v>
      </c>
      <c r="C1818" s="61"/>
      <c r="D1818" s="61"/>
    </row>
    <row r="1819" spans="1:4" ht="24.6" customHeight="1" thickBot="1" x14ac:dyDescent="0.25">
      <c r="A1819" s="914" t="s">
        <v>2907</v>
      </c>
      <c r="B1819" s="915"/>
      <c r="C1819" s="61"/>
      <c r="D1819" s="61"/>
    </row>
    <row r="1820" spans="1:4" ht="24.6" customHeight="1" thickBot="1" x14ac:dyDescent="0.25">
      <c r="A1820" s="911" t="s">
        <v>140</v>
      </c>
      <c r="B1820" s="912"/>
      <c r="C1820" s="61"/>
      <c r="D1820" s="61"/>
    </row>
    <row r="1821" spans="1:4" ht="24.6" customHeight="1" thickBot="1" x14ac:dyDescent="0.25">
      <c r="A1821" s="62" t="s">
        <v>2908</v>
      </c>
      <c r="B1821" s="63" t="s">
        <v>1069</v>
      </c>
      <c r="C1821" s="61"/>
      <c r="D1821" s="61"/>
    </row>
    <row r="1822" spans="1:4" ht="24.6" customHeight="1" thickBot="1" x14ac:dyDescent="0.25">
      <c r="A1822" s="62" t="s">
        <v>2909</v>
      </c>
      <c r="B1822" s="63" t="s">
        <v>1071</v>
      </c>
      <c r="C1822" s="61"/>
      <c r="D1822" s="61"/>
    </row>
    <row r="1823" spans="1:4" ht="24.6" customHeight="1" thickBot="1" x14ac:dyDescent="0.25">
      <c r="A1823" s="62" t="s">
        <v>2910</v>
      </c>
      <c r="B1823" s="63" t="s">
        <v>1073</v>
      </c>
      <c r="C1823" s="61"/>
      <c r="D1823" s="61"/>
    </row>
    <row r="1824" spans="1:4" ht="24.6" customHeight="1" thickBot="1" x14ac:dyDescent="0.25">
      <c r="A1824" s="62" t="s">
        <v>2911</v>
      </c>
      <c r="B1824" s="63" t="s">
        <v>1075</v>
      </c>
      <c r="C1824" s="61"/>
      <c r="D1824" s="61"/>
    </row>
    <row r="1825" spans="1:4" ht="24.6" customHeight="1" thickBot="1" x14ac:dyDescent="0.25">
      <c r="A1825" s="62" t="s">
        <v>2912</v>
      </c>
      <c r="B1825" s="63" t="s">
        <v>2913</v>
      </c>
      <c r="C1825" s="61"/>
      <c r="D1825" s="61"/>
    </row>
    <row r="1826" spans="1:4" ht="24.6" customHeight="1" thickBot="1" x14ac:dyDescent="0.25">
      <c r="A1826" s="62" t="s">
        <v>2914</v>
      </c>
      <c r="B1826" s="63" t="s">
        <v>1411</v>
      </c>
      <c r="C1826" s="61"/>
      <c r="D1826" s="61"/>
    </row>
    <row r="1827" spans="1:4" ht="24.6" customHeight="1" thickBot="1" x14ac:dyDescent="0.25">
      <c r="A1827" s="62" t="s">
        <v>2915</v>
      </c>
      <c r="B1827" s="63" t="s">
        <v>1081</v>
      </c>
      <c r="C1827" s="61"/>
      <c r="D1827" s="61"/>
    </row>
    <row r="1828" spans="1:4" ht="24.6" customHeight="1" thickBot="1" x14ac:dyDescent="0.25">
      <c r="A1828" s="62" t="s">
        <v>2916</v>
      </c>
      <c r="B1828" s="63" t="s">
        <v>1083</v>
      </c>
      <c r="C1828" s="61"/>
      <c r="D1828" s="61"/>
    </row>
    <row r="1829" spans="1:4" ht="24.6" customHeight="1" thickBot="1" x14ac:dyDescent="0.25">
      <c r="A1829" s="62" t="s">
        <v>2917</v>
      </c>
      <c r="B1829" s="63" t="s">
        <v>2918</v>
      </c>
      <c r="C1829" s="61"/>
      <c r="D1829" s="61"/>
    </row>
    <row r="1830" spans="1:4" ht="24.6" customHeight="1" thickBot="1" x14ac:dyDescent="0.25">
      <c r="A1830" s="62" t="s">
        <v>2919</v>
      </c>
      <c r="B1830" s="63" t="s">
        <v>2920</v>
      </c>
      <c r="C1830" s="61"/>
      <c r="D1830" s="61"/>
    </row>
    <row r="1831" spans="1:4" ht="24.6" customHeight="1" thickBot="1" x14ac:dyDescent="0.25">
      <c r="A1831" s="62" t="s">
        <v>2921</v>
      </c>
      <c r="B1831" s="63" t="s">
        <v>1376</v>
      </c>
      <c r="C1831" s="61"/>
      <c r="D1831" s="61"/>
    </row>
    <row r="1832" spans="1:4" ht="24.6" customHeight="1" thickBot="1" x14ac:dyDescent="0.25">
      <c r="A1832" s="62" t="s">
        <v>2922</v>
      </c>
      <c r="B1832" s="63" t="s">
        <v>1088</v>
      </c>
      <c r="C1832" s="61"/>
      <c r="D1832" s="61"/>
    </row>
    <row r="1833" spans="1:4" ht="24.6" customHeight="1" thickBot="1" x14ac:dyDescent="0.25">
      <c r="A1833" s="62" t="s">
        <v>2923</v>
      </c>
      <c r="B1833" s="63" t="s">
        <v>1934</v>
      </c>
      <c r="C1833" s="61"/>
      <c r="D1833" s="61"/>
    </row>
    <row r="1834" spans="1:4" ht="24.6" customHeight="1" thickBot="1" x14ac:dyDescent="0.25">
      <c r="A1834" s="62" t="s">
        <v>2924</v>
      </c>
      <c r="B1834" s="63" t="s">
        <v>1275</v>
      </c>
      <c r="C1834" s="61"/>
      <c r="D1834" s="61"/>
    </row>
    <row r="1835" spans="1:4" ht="24.6" customHeight="1" thickBot="1" x14ac:dyDescent="0.25">
      <c r="A1835" s="62" t="s">
        <v>2925</v>
      </c>
      <c r="B1835" s="63" t="s">
        <v>1086</v>
      </c>
      <c r="C1835" s="61"/>
      <c r="D1835" s="61"/>
    </row>
    <row r="1836" spans="1:4" ht="24.6" customHeight="1" thickBot="1" x14ac:dyDescent="0.25">
      <c r="A1836" s="911" t="s">
        <v>1091</v>
      </c>
      <c r="B1836" s="912"/>
      <c r="C1836" s="61"/>
      <c r="D1836" s="61"/>
    </row>
    <row r="1837" spans="1:4" ht="24.6" customHeight="1" thickBot="1" x14ac:dyDescent="0.25">
      <c r="A1837" s="62" t="s">
        <v>2926</v>
      </c>
      <c r="B1837" s="63" t="s">
        <v>185</v>
      </c>
      <c r="C1837" s="61"/>
      <c r="D1837" s="61"/>
    </row>
    <row r="1838" spans="1:4" ht="24.6" customHeight="1" thickBot="1" x14ac:dyDescent="0.25">
      <c r="A1838" s="62" t="s">
        <v>2927</v>
      </c>
      <c r="B1838" s="63" t="s">
        <v>1094</v>
      </c>
      <c r="C1838" s="61"/>
      <c r="D1838" s="61"/>
    </row>
    <row r="1839" spans="1:4" ht="24.6" customHeight="1" thickBot="1" x14ac:dyDescent="0.25">
      <c r="A1839" s="62" t="s">
        <v>2928</v>
      </c>
      <c r="B1839" s="63" t="s">
        <v>1096</v>
      </c>
      <c r="C1839" s="61"/>
      <c r="D1839" s="61"/>
    </row>
    <row r="1840" spans="1:4" ht="24.6" customHeight="1" thickBot="1" x14ac:dyDescent="0.25">
      <c r="A1840" s="62" t="s">
        <v>2929</v>
      </c>
      <c r="B1840" s="63" t="s">
        <v>189</v>
      </c>
      <c r="C1840" s="61"/>
      <c r="D1840" s="61"/>
    </row>
    <row r="1841" spans="1:4" ht="24.6" customHeight="1" thickBot="1" x14ac:dyDescent="0.25">
      <c r="A1841" s="62" t="s">
        <v>2930</v>
      </c>
      <c r="B1841" s="63" t="s">
        <v>191</v>
      </c>
      <c r="C1841" s="61"/>
      <c r="D1841" s="61"/>
    </row>
    <row r="1842" spans="1:4" ht="24.6" customHeight="1" thickBot="1" x14ac:dyDescent="0.25">
      <c r="A1842" s="62" t="s">
        <v>2931</v>
      </c>
      <c r="B1842" s="63" t="s">
        <v>193</v>
      </c>
      <c r="C1842" s="61"/>
      <c r="D1842" s="61"/>
    </row>
    <row r="1843" spans="1:4" ht="24.6" customHeight="1" thickBot="1" x14ac:dyDescent="0.25">
      <c r="A1843" s="62" t="s">
        <v>2932</v>
      </c>
      <c r="B1843" s="63" t="s">
        <v>195</v>
      </c>
      <c r="C1843" s="61"/>
      <c r="D1843" s="61"/>
    </row>
    <row r="1844" spans="1:4" ht="24.6" customHeight="1" thickBot="1" x14ac:dyDescent="0.25">
      <c r="A1844" s="62" t="s">
        <v>2933</v>
      </c>
      <c r="B1844" s="63" t="s">
        <v>156</v>
      </c>
      <c r="C1844" s="61"/>
      <c r="D1844" s="61"/>
    </row>
    <row r="1845" spans="1:4" ht="24.6" customHeight="1" thickBot="1" x14ac:dyDescent="0.25">
      <c r="A1845" s="911" t="s">
        <v>1170</v>
      </c>
      <c r="B1845" s="912"/>
      <c r="C1845" s="61"/>
      <c r="D1845" s="61"/>
    </row>
    <row r="1846" spans="1:4" ht="24.6" customHeight="1" thickBot="1" x14ac:dyDescent="0.25">
      <c r="A1846" s="62" t="s">
        <v>2934</v>
      </c>
      <c r="B1846" s="63" t="s">
        <v>2935</v>
      </c>
      <c r="C1846" s="61"/>
      <c r="D1846" s="61"/>
    </row>
    <row r="1847" spans="1:4" ht="24.6" customHeight="1" thickBot="1" x14ac:dyDescent="0.25">
      <c r="A1847" s="62" t="s">
        <v>2936</v>
      </c>
      <c r="B1847" s="63" t="s">
        <v>1788</v>
      </c>
      <c r="C1847" s="61"/>
      <c r="D1847" s="61"/>
    </row>
    <row r="1848" spans="1:4" ht="24.6" customHeight="1" thickBot="1" x14ac:dyDescent="0.25">
      <c r="A1848" s="62" t="s">
        <v>2937</v>
      </c>
      <c r="B1848" s="63" t="s">
        <v>2004</v>
      </c>
      <c r="C1848" s="61"/>
      <c r="D1848" s="61"/>
    </row>
    <row r="1849" spans="1:4" ht="24.6" customHeight="1" thickBot="1" x14ac:dyDescent="0.25">
      <c r="A1849" s="62" t="s">
        <v>2938</v>
      </c>
      <c r="B1849" s="63" t="s">
        <v>2939</v>
      </c>
      <c r="C1849" s="61"/>
      <c r="D1849" s="61"/>
    </row>
    <row r="1850" spans="1:4" ht="24.6" customHeight="1" thickBot="1" x14ac:dyDescent="0.25">
      <c r="A1850" s="62" t="s">
        <v>2940</v>
      </c>
      <c r="B1850" s="63" t="s">
        <v>2941</v>
      </c>
      <c r="C1850" s="61"/>
      <c r="D1850" s="61"/>
    </row>
    <row r="1851" spans="1:4" ht="24.6" customHeight="1" thickBot="1" x14ac:dyDescent="0.25">
      <c r="A1851" s="62" t="s">
        <v>2942</v>
      </c>
      <c r="B1851" s="63" t="s">
        <v>2943</v>
      </c>
      <c r="C1851" s="61"/>
      <c r="D1851" s="61"/>
    </row>
    <row r="1852" spans="1:4" ht="24.6" customHeight="1" thickBot="1" x14ac:dyDescent="0.25">
      <c r="A1852" s="62" t="s">
        <v>2944</v>
      </c>
      <c r="B1852" s="63" t="s">
        <v>2945</v>
      </c>
      <c r="C1852" s="61"/>
      <c r="D1852" s="61"/>
    </row>
    <row r="1853" spans="1:4" ht="24.6" customHeight="1" thickBot="1" x14ac:dyDescent="0.25">
      <c r="A1853" s="62" t="s">
        <v>2946</v>
      </c>
      <c r="B1853" s="63" t="s">
        <v>2947</v>
      </c>
      <c r="C1853" s="61"/>
      <c r="D1853" s="61"/>
    </row>
    <row r="1854" spans="1:4" ht="24.6" customHeight="1" thickBot="1" x14ac:dyDescent="0.25">
      <c r="A1854" s="62" t="s">
        <v>2948</v>
      </c>
      <c r="B1854" s="63" t="s">
        <v>2949</v>
      </c>
      <c r="C1854" s="61"/>
      <c r="D1854" s="61"/>
    </row>
    <row r="1855" spans="1:4" ht="24.6" customHeight="1" thickBot="1" x14ac:dyDescent="0.25">
      <c r="A1855" s="62" t="s">
        <v>2950</v>
      </c>
      <c r="B1855" s="63" t="s">
        <v>2951</v>
      </c>
      <c r="C1855" s="61"/>
      <c r="D1855" s="61"/>
    </row>
    <row r="1856" spans="1:4" ht="24.6" customHeight="1" thickBot="1" x14ac:dyDescent="0.25">
      <c r="A1856" s="911" t="s">
        <v>2952</v>
      </c>
      <c r="B1856" s="912"/>
      <c r="C1856" s="61"/>
      <c r="D1856" s="61"/>
    </row>
    <row r="1857" spans="1:4" ht="24.6" customHeight="1" thickBot="1" x14ac:dyDescent="0.25">
      <c r="A1857" s="62" t="s">
        <v>2953</v>
      </c>
      <c r="B1857" s="63" t="s">
        <v>2954</v>
      </c>
      <c r="C1857" s="61"/>
      <c r="D1857" s="61"/>
    </row>
    <row r="1858" spans="1:4" ht="24.6" customHeight="1" thickBot="1" x14ac:dyDescent="0.25">
      <c r="A1858" s="62" t="s">
        <v>2955</v>
      </c>
      <c r="B1858" s="63" t="s">
        <v>2956</v>
      </c>
      <c r="C1858" s="61"/>
      <c r="D1858" s="61"/>
    </row>
    <row r="1859" spans="1:4" ht="24.6" customHeight="1" thickBot="1" x14ac:dyDescent="0.25">
      <c r="A1859" s="62" t="s">
        <v>2957</v>
      </c>
      <c r="B1859" s="63" t="s">
        <v>2720</v>
      </c>
      <c r="C1859" s="61"/>
      <c r="D1859" s="61"/>
    </row>
    <row r="1860" spans="1:4" ht="24.6" customHeight="1" thickBot="1" x14ac:dyDescent="0.25">
      <c r="A1860" s="62" t="s">
        <v>2958</v>
      </c>
      <c r="B1860" s="63" t="s">
        <v>2959</v>
      </c>
      <c r="C1860" s="61"/>
      <c r="D1860" s="61"/>
    </row>
    <row r="1861" spans="1:4" ht="24.6" customHeight="1" thickBot="1" x14ac:dyDescent="0.25">
      <c r="A1861" s="62" t="s">
        <v>2960</v>
      </c>
      <c r="B1861" s="63" t="s">
        <v>2961</v>
      </c>
      <c r="C1861" s="61"/>
      <c r="D1861" s="61"/>
    </row>
    <row r="1862" spans="1:4" ht="24.6" customHeight="1" thickBot="1" x14ac:dyDescent="0.25">
      <c r="A1862" s="62" t="s">
        <v>2962</v>
      </c>
      <c r="B1862" s="63" t="s">
        <v>2961</v>
      </c>
      <c r="C1862" s="61"/>
      <c r="D1862" s="61"/>
    </row>
    <row r="1863" spans="1:4" ht="24.6" customHeight="1" thickBot="1" x14ac:dyDescent="0.25">
      <c r="A1863" s="62" t="s">
        <v>2963</v>
      </c>
      <c r="B1863" s="63" t="s">
        <v>2964</v>
      </c>
      <c r="C1863" s="61"/>
      <c r="D1863" s="61"/>
    </row>
    <row r="1864" spans="1:4" ht="24.6" customHeight="1" thickBot="1" x14ac:dyDescent="0.25">
      <c r="A1864" s="62" t="s">
        <v>2965</v>
      </c>
      <c r="B1864" s="63" t="s">
        <v>2966</v>
      </c>
      <c r="C1864" s="61"/>
      <c r="D1864" s="61"/>
    </row>
    <row r="1865" spans="1:4" ht="24.6" customHeight="1" thickBot="1" x14ac:dyDescent="0.25">
      <c r="A1865" s="62" t="s">
        <v>2967</v>
      </c>
      <c r="B1865" s="63" t="s">
        <v>2968</v>
      </c>
      <c r="C1865" s="61"/>
      <c r="D1865" s="61"/>
    </row>
    <row r="1866" spans="1:4" ht="24.6" customHeight="1" thickBot="1" x14ac:dyDescent="0.25">
      <c r="A1866" s="62" t="s">
        <v>2969</v>
      </c>
      <c r="B1866" s="63" t="s">
        <v>2970</v>
      </c>
      <c r="C1866" s="61"/>
      <c r="D1866" s="61"/>
    </row>
    <row r="1867" spans="1:4" ht="24.6" customHeight="1" thickBot="1" x14ac:dyDescent="0.25">
      <c r="A1867" s="62" t="s">
        <v>2971</v>
      </c>
      <c r="B1867" s="63" t="s">
        <v>2972</v>
      </c>
      <c r="C1867" s="61"/>
      <c r="D1867" s="61"/>
    </row>
    <row r="1868" spans="1:4" ht="24.6" customHeight="1" thickBot="1" x14ac:dyDescent="0.25">
      <c r="A1868" s="62" t="s">
        <v>2973</v>
      </c>
      <c r="B1868" s="63" t="s">
        <v>2974</v>
      </c>
      <c r="C1868" s="61"/>
      <c r="D1868" s="61"/>
    </row>
    <row r="1869" spans="1:4" ht="24.6" customHeight="1" thickBot="1" x14ac:dyDescent="0.25">
      <c r="A1869" s="62" t="s">
        <v>2975</v>
      </c>
      <c r="B1869" s="63" t="s">
        <v>2976</v>
      </c>
      <c r="C1869" s="61"/>
      <c r="D1869" s="61"/>
    </row>
    <row r="1870" spans="1:4" ht="24.6" customHeight="1" thickBot="1" x14ac:dyDescent="0.25">
      <c r="A1870" s="62" t="s">
        <v>2977</v>
      </c>
      <c r="B1870" s="63" t="s">
        <v>2978</v>
      </c>
      <c r="C1870" s="61"/>
      <c r="D1870" s="61"/>
    </row>
    <row r="1871" spans="1:4" ht="24.6" customHeight="1" thickBot="1" x14ac:dyDescent="0.25">
      <c r="A1871" s="62" t="s">
        <v>2979</v>
      </c>
      <c r="B1871" s="63" t="s">
        <v>2980</v>
      </c>
      <c r="C1871" s="61"/>
      <c r="D1871" s="61"/>
    </row>
    <row r="1872" spans="1:4" ht="24.6" customHeight="1" thickBot="1" x14ac:dyDescent="0.25">
      <c r="A1872" s="62" t="s">
        <v>2981</v>
      </c>
      <c r="B1872" s="63" t="s">
        <v>2982</v>
      </c>
      <c r="C1872" s="61"/>
      <c r="D1872" s="61"/>
    </row>
    <row r="1873" spans="1:4" ht="24.6" customHeight="1" thickBot="1" x14ac:dyDescent="0.25">
      <c r="A1873" s="62" t="s">
        <v>2983</v>
      </c>
      <c r="B1873" s="63" t="s">
        <v>2984</v>
      </c>
      <c r="C1873" s="61"/>
      <c r="D1873" s="61"/>
    </row>
    <row r="1874" spans="1:4" ht="24.6" customHeight="1" thickBot="1" x14ac:dyDescent="0.25">
      <c r="A1874" s="62" t="s">
        <v>2985</v>
      </c>
      <c r="B1874" s="63" t="s">
        <v>2986</v>
      </c>
      <c r="C1874" s="61"/>
      <c r="D1874" s="61"/>
    </row>
    <row r="1875" spans="1:4" ht="24.6" customHeight="1" thickBot="1" x14ac:dyDescent="0.25">
      <c r="A1875" s="62" t="s">
        <v>2987</v>
      </c>
      <c r="B1875" s="63" t="s">
        <v>2988</v>
      </c>
      <c r="C1875" s="61"/>
      <c r="D1875" s="61"/>
    </row>
    <row r="1876" spans="1:4" ht="24.6" customHeight="1" thickBot="1" x14ac:dyDescent="0.25">
      <c r="A1876" s="62" t="s">
        <v>2989</v>
      </c>
      <c r="B1876" s="63" t="s">
        <v>2326</v>
      </c>
      <c r="C1876" s="61"/>
      <c r="D1876" s="61"/>
    </row>
    <row r="1877" spans="1:4" ht="24.6" customHeight="1" thickBot="1" x14ac:dyDescent="0.25">
      <c r="A1877" s="911" t="s">
        <v>2990</v>
      </c>
      <c r="B1877" s="912"/>
      <c r="C1877" s="61"/>
      <c r="D1877" s="61"/>
    </row>
    <row r="1878" spans="1:4" ht="24.6" customHeight="1" thickBot="1" x14ac:dyDescent="0.25">
      <c r="A1878" s="62" t="s">
        <v>2991</v>
      </c>
      <c r="B1878" s="63" t="s">
        <v>2992</v>
      </c>
      <c r="C1878" s="61"/>
      <c r="D1878" s="61"/>
    </row>
    <row r="1879" spans="1:4" ht="24.6" customHeight="1" thickBot="1" x14ac:dyDescent="0.25">
      <c r="A1879" s="62" t="s">
        <v>2993</v>
      </c>
      <c r="B1879" s="63" t="s">
        <v>2994</v>
      </c>
      <c r="C1879" s="61"/>
      <c r="D1879" s="61"/>
    </row>
    <row r="1880" spans="1:4" ht="24.6" customHeight="1" thickBot="1" x14ac:dyDescent="0.25">
      <c r="A1880" s="62" t="s">
        <v>2995</v>
      </c>
      <c r="B1880" s="63" t="s">
        <v>2996</v>
      </c>
      <c r="C1880" s="61"/>
      <c r="D1880" s="61"/>
    </row>
    <row r="1881" spans="1:4" ht="24.6" customHeight="1" thickBot="1" x14ac:dyDescent="0.25">
      <c r="A1881" s="62" t="s">
        <v>2997</v>
      </c>
      <c r="B1881" s="63" t="s">
        <v>2998</v>
      </c>
      <c r="C1881" s="61"/>
      <c r="D1881" s="61"/>
    </row>
    <row r="1882" spans="1:4" ht="24.6" customHeight="1" thickBot="1" x14ac:dyDescent="0.25">
      <c r="A1882" s="62" t="s">
        <v>2999</v>
      </c>
      <c r="B1882" s="63" t="s">
        <v>3000</v>
      </c>
      <c r="C1882" s="61"/>
      <c r="D1882" s="61"/>
    </row>
    <row r="1883" spans="1:4" ht="24.6" customHeight="1" thickBot="1" x14ac:dyDescent="0.25">
      <c r="A1883" s="62" t="s">
        <v>3001</v>
      </c>
      <c r="B1883" s="63" t="s">
        <v>3002</v>
      </c>
      <c r="C1883" s="61"/>
      <c r="D1883" s="61"/>
    </row>
    <row r="1884" spans="1:4" ht="24.6" customHeight="1" thickBot="1" x14ac:dyDescent="0.25">
      <c r="A1884" s="911" t="s">
        <v>1102</v>
      </c>
      <c r="B1884" s="912"/>
      <c r="C1884" s="61"/>
      <c r="D1884" s="61"/>
    </row>
    <row r="1885" spans="1:4" ht="24.6" customHeight="1" thickBot="1" x14ac:dyDescent="0.25">
      <c r="A1885" s="62" t="s">
        <v>3003</v>
      </c>
      <c r="B1885" s="63" t="s">
        <v>1867</v>
      </c>
      <c r="C1885" s="65"/>
      <c r="D1885" s="61"/>
    </row>
    <row r="1886" spans="1:4" ht="24.6" customHeight="1" thickBot="1" x14ac:dyDescent="0.25">
      <c r="A1886" s="911" t="s">
        <v>1107</v>
      </c>
      <c r="B1886" s="913"/>
      <c r="C1886" s="912"/>
      <c r="D1886" s="61"/>
    </row>
    <row r="1887" spans="1:4" ht="24.6" customHeight="1" thickBot="1" x14ac:dyDescent="0.25">
      <c r="A1887" s="62" t="s">
        <v>3004</v>
      </c>
      <c r="B1887" s="911" t="s">
        <v>1673</v>
      </c>
      <c r="C1887" s="912"/>
      <c r="D1887" s="61"/>
    </row>
    <row r="1888" spans="1:4" ht="24.6" customHeight="1" thickBot="1" x14ac:dyDescent="0.25">
      <c r="A1888" s="914" t="s">
        <v>3005</v>
      </c>
      <c r="B1888" s="924"/>
      <c r="C1888" s="915"/>
      <c r="D1888" s="61"/>
    </row>
    <row r="1889" spans="1:4" ht="24.6" customHeight="1" thickBot="1" x14ac:dyDescent="0.25">
      <c r="A1889" s="914" t="s">
        <v>3006</v>
      </c>
      <c r="B1889" s="924"/>
      <c r="C1889" s="915"/>
      <c r="D1889" s="61"/>
    </row>
    <row r="1890" spans="1:4" ht="24.6" customHeight="1" thickBot="1" x14ac:dyDescent="0.25">
      <c r="A1890" s="911" t="s">
        <v>415</v>
      </c>
      <c r="B1890" s="913"/>
      <c r="C1890" s="912"/>
      <c r="D1890" s="61"/>
    </row>
    <row r="1891" spans="1:4" ht="24.6" customHeight="1" thickBot="1" x14ac:dyDescent="0.25">
      <c r="A1891" s="911" t="s">
        <v>140</v>
      </c>
      <c r="B1891" s="913"/>
      <c r="C1891" s="912"/>
      <c r="D1891" s="61"/>
    </row>
    <row r="1892" spans="1:4" ht="24.6" customHeight="1" thickBot="1" x14ac:dyDescent="0.25">
      <c r="A1892" s="62" t="s">
        <v>3007</v>
      </c>
      <c r="B1892" s="911" t="s">
        <v>1069</v>
      </c>
      <c r="C1892" s="912"/>
      <c r="D1892" s="61"/>
    </row>
    <row r="1893" spans="1:4" ht="24.6" customHeight="1" thickBot="1" x14ac:dyDescent="0.25">
      <c r="A1893" s="62" t="s">
        <v>3008</v>
      </c>
      <c r="B1893" s="911" t="s">
        <v>1071</v>
      </c>
      <c r="C1893" s="912"/>
      <c r="D1893" s="61"/>
    </row>
    <row r="1894" spans="1:4" ht="24.6" customHeight="1" thickBot="1" x14ac:dyDescent="0.25">
      <c r="A1894" s="62" t="s">
        <v>3009</v>
      </c>
      <c r="B1894" s="911" t="s">
        <v>1073</v>
      </c>
      <c r="C1894" s="912"/>
      <c r="D1894" s="61"/>
    </row>
    <row r="1895" spans="1:4" ht="24.6" customHeight="1" thickBot="1" x14ac:dyDescent="0.25">
      <c r="A1895" s="62" t="s">
        <v>3010</v>
      </c>
      <c r="B1895" s="911" t="s">
        <v>1075</v>
      </c>
      <c r="C1895" s="912"/>
      <c r="D1895" s="61"/>
    </row>
    <row r="1896" spans="1:4" ht="24.6" customHeight="1" thickBot="1" x14ac:dyDescent="0.25">
      <c r="A1896" s="62" t="s">
        <v>3011</v>
      </c>
      <c r="B1896" s="911" t="s">
        <v>2913</v>
      </c>
      <c r="C1896" s="912"/>
      <c r="D1896" s="61"/>
    </row>
    <row r="1897" spans="1:4" ht="24.6" customHeight="1" thickBot="1" x14ac:dyDescent="0.25">
      <c r="A1897" s="62" t="s">
        <v>3012</v>
      </c>
      <c r="B1897" s="911" t="s">
        <v>1411</v>
      </c>
      <c r="C1897" s="912"/>
      <c r="D1897" s="61"/>
    </row>
    <row r="1898" spans="1:4" ht="24.6" customHeight="1" thickBot="1" x14ac:dyDescent="0.25">
      <c r="A1898" s="62" t="s">
        <v>3013</v>
      </c>
      <c r="B1898" s="911" t="s">
        <v>1081</v>
      </c>
      <c r="C1898" s="912"/>
      <c r="D1898" s="61"/>
    </row>
    <row r="1899" spans="1:4" ht="24.6" customHeight="1" thickBot="1" x14ac:dyDescent="0.25">
      <c r="A1899" s="62" t="s">
        <v>3014</v>
      </c>
      <c r="B1899" s="911" t="s">
        <v>1083</v>
      </c>
      <c r="C1899" s="912"/>
      <c r="D1899" s="61"/>
    </row>
    <row r="1900" spans="1:4" ht="24.6" customHeight="1" thickBot="1" x14ac:dyDescent="0.25">
      <c r="A1900" s="62" t="s">
        <v>3015</v>
      </c>
      <c r="B1900" s="911" t="s">
        <v>1688</v>
      </c>
      <c r="C1900" s="912"/>
      <c r="D1900" s="61"/>
    </row>
    <row r="1901" spans="1:4" ht="24.6" customHeight="1" thickBot="1" x14ac:dyDescent="0.25">
      <c r="A1901" s="62" t="s">
        <v>3016</v>
      </c>
      <c r="B1901" s="911" t="s">
        <v>1086</v>
      </c>
      <c r="C1901" s="912"/>
      <c r="D1901" s="61"/>
    </row>
    <row r="1902" spans="1:4" ht="24.6" customHeight="1" thickBot="1" x14ac:dyDescent="0.25">
      <c r="A1902" s="911" t="s">
        <v>3017</v>
      </c>
      <c r="B1902" s="913"/>
      <c r="C1902" s="912"/>
      <c r="D1902" s="61"/>
    </row>
    <row r="1903" spans="1:4" ht="24.6" customHeight="1" thickBot="1" x14ac:dyDescent="0.25">
      <c r="A1903" s="62" t="s">
        <v>3018</v>
      </c>
      <c r="B1903" s="911" t="s">
        <v>1268</v>
      </c>
      <c r="C1903" s="912"/>
      <c r="D1903" s="61"/>
    </row>
    <row r="1904" spans="1:4" ht="24.6" customHeight="1" thickBot="1" x14ac:dyDescent="0.25">
      <c r="A1904" s="62" t="s">
        <v>3019</v>
      </c>
      <c r="B1904" s="911" t="s">
        <v>1371</v>
      </c>
      <c r="C1904" s="912"/>
      <c r="D1904" s="61"/>
    </row>
    <row r="1905" spans="1:4" ht="24.6" customHeight="1" thickBot="1" x14ac:dyDescent="0.25">
      <c r="A1905" s="62" t="s">
        <v>3020</v>
      </c>
      <c r="B1905" s="911" t="s">
        <v>1676</v>
      </c>
      <c r="C1905" s="912"/>
      <c r="D1905" s="61"/>
    </row>
    <row r="1906" spans="1:4" ht="24.6" customHeight="1" thickBot="1" x14ac:dyDescent="0.25">
      <c r="A1906" s="911" t="s">
        <v>3021</v>
      </c>
      <c r="B1906" s="913"/>
      <c r="C1906" s="912"/>
      <c r="D1906" s="61"/>
    </row>
    <row r="1907" spans="1:4" ht="24.6" customHeight="1" thickBot="1" x14ac:dyDescent="0.25">
      <c r="A1907" s="911" t="s">
        <v>1091</v>
      </c>
      <c r="B1907" s="913"/>
      <c r="C1907" s="912"/>
      <c r="D1907" s="61"/>
    </row>
    <row r="1908" spans="1:4" ht="24.6" customHeight="1" thickBot="1" x14ac:dyDescent="0.25">
      <c r="A1908" s="62" t="s">
        <v>3022</v>
      </c>
      <c r="B1908" s="911" t="s">
        <v>3023</v>
      </c>
      <c r="C1908" s="912"/>
      <c r="D1908" s="61"/>
    </row>
    <row r="1909" spans="1:4" ht="24.6" customHeight="1" thickBot="1" x14ac:dyDescent="0.25">
      <c r="A1909" s="62" t="s">
        <v>3024</v>
      </c>
      <c r="B1909" s="911" t="s">
        <v>3025</v>
      </c>
      <c r="C1909" s="912"/>
      <c r="D1909" s="61"/>
    </row>
    <row r="1910" spans="1:4" ht="24.6" customHeight="1" thickBot="1" x14ac:dyDescent="0.25">
      <c r="A1910" s="62" t="s">
        <v>3026</v>
      </c>
      <c r="B1910" s="911" t="s">
        <v>1096</v>
      </c>
      <c r="C1910" s="912"/>
      <c r="D1910" s="61"/>
    </row>
    <row r="1911" spans="1:4" ht="24.6" customHeight="1" thickBot="1" x14ac:dyDescent="0.25">
      <c r="A1911" s="62" t="s">
        <v>3027</v>
      </c>
      <c r="B1911" s="911" t="s">
        <v>189</v>
      </c>
      <c r="C1911" s="912"/>
      <c r="D1911" s="61"/>
    </row>
    <row r="1912" spans="1:4" ht="24.6" customHeight="1" thickBot="1" x14ac:dyDescent="0.25">
      <c r="A1912" s="62" t="s">
        <v>3028</v>
      </c>
      <c r="B1912" s="911" t="s">
        <v>191</v>
      </c>
      <c r="C1912" s="912"/>
      <c r="D1912" s="61"/>
    </row>
    <row r="1913" spans="1:4" ht="24.6" customHeight="1" thickBot="1" x14ac:dyDescent="0.25">
      <c r="A1913" s="62" t="s">
        <v>3029</v>
      </c>
      <c r="B1913" s="911" t="s">
        <v>193</v>
      </c>
      <c r="C1913" s="912"/>
      <c r="D1913" s="61"/>
    </row>
    <row r="1914" spans="1:4" ht="24.6" customHeight="1" thickBot="1" x14ac:dyDescent="0.25">
      <c r="A1914" s="62" t="s">
        <v>3030</v>
      </c>
      <c r="B1914" s="911" t="s">
        <v>195</v>
      </c>
      <c r="C1914" s="912"/>
      <c r="D1914" s="61"/>
    </row>
    <row r="1915" spans="1:4" ht="24.6" customHeight="1" thickBot="1" x14ac:dyDescent="0.25">
      <c r="A1915" s="62" t="s">
        <v>3031</v>
      </c>
      <c r="B1915" s="911" t="s">
        <v>156</v>
      </c>
      <c r="C1915" s="912"/>
      <c r="D1915" s="61"/>
    </row>
    <row r="1916" spans="1:4" ht="24.6" customHeight="1" thickBot="1" x14ac:dyDescent="0.25">
      <c r="A1916" s="62" t="s">
        <v>3032</v>
      </c>
      <c r="B1916" s="911" t="s">
        <v>3033</v>
      </c>
      <c r="C1916" s="912"/>
      <c r="D1916" s="61"/>
    </row>
    <row r="1917" spans="1:4" ht="24.6" customHeight="1" thickBot="1" x14ac:dyDescent="0.25">
      <c r="A1917" s="62" t="s">
        <v>3034</v>
      </c>
      <c r="B1917" s="911" t="s">
        <v>3035</v>
      </c>
      <c r="C1917" s="912"/>
      <c r="D1917" s="61"/>
    </row>
    <row r="1918" spans="1:4" ht="24.6" customHeight="1" thickBot="1" x14ac:dyDescent="0.25">
      <c r="A1918" s="911" t="s">
        <v>197</v>
      </c>
      <c r="B1918" s="913"/>
      <c r="C1918" s="912"/>
      <c r="D1918" s="61"/>
    </row>
    <row r="1919" spans="1:4" ht="24.6" customHeight="1" thickBot="1" x14ac:dyDescent="0.25">
      <c r="A1919" s="62" t="s">
        <v>3036</v>
      </c>
      <c r="B1919" s="911" t="s">
        <v>1253</v>
      </c>
      <c r="C1919" s="912"/>
      <c r="D1919" s="61"/>
    </row>
    <row r="1920" spans="1:4" ht="24.6" customHeight="1" thickBot="1" x14ac:dyDescent="0.25">
      <c r="A1920" s="62" t="s">
        <v>3037</v>
      </c>
      <c r="B1920" s="911" t="s">
        <v>1257</v>
      </c>
      <c r="C1920" s="912"/>
      <c r="D1920" s="61"/>
    </row>
    <row r="1921" spans="1:4" ht="24.6" customHeight="1" thickBot="1" x14ac:dyDescent="0.25">
      <c r="A1921" s="62" t="s">
        <v>3038</v>
      </c>
      <c r="B1921" s="911" t="s">
        <v>3033</v>
      </c>
      <c r="C1921" s="912"/>
      <c r="D1921" s="61"/>
    </row>
    <row r="1922" spans="1:4" ht="24.6" customHeight="1" thickBot="1" x14ac:dyDescent="0.25">
      <c r="A1922" s="62" t="s">
        <v>3039</v>
      </c>
      <c r="B1922" s="911" t="s">
        <v>3040</v>
      </c>
      <c r="C1922" s="912"/>
      <c r="D1922" s="61"/>
    </row>
    <row r="1923" spans="1:4" ht="24.6" customHeight="1" thickBot="1" x14ac:dyDescent="0.25">
      <c r="A1923" s="911" t="s">
        <v>3041</v>
      </c>
      <c r="B1923" s="913"/>
      <c r="C1923" s="912"/>
      <c r="D1923" s="61"/>
    </row>
    <row r="1924" spans="1:4" ht="24.6" customHeight="1" thickBot="1" x14ac:dyDescent="0.25">
      <c r="A1924" s="62" t="s">
        <v>3042</v>
      </c>
      <c r="B1924" s="911" t="s">
        <v>3043</v>
      </c>
      <c r="C1924" s="912"/>
      <c r="D1924" s="61"/>
    </row>
    <row r="1925" spans="1:4" ht="24.6" customHeight="1" thickBot="1" x14ac:dyDescent="0.25">
      <c r="A1925" s="62" t="s">
        <v>3044</v>
      </c>
      <c r="B1925" s="911" t="s">
        <v>3045</v>
      </c>
      <c r="C1925" s="912"/>
      <c r="D1925" s="61"/>
    </row>
    <row r="1926" spans="1:4" ht="24.6" customHeight="1" thickBot="1" x14ac:dyDescent="0.25">
      <c r="A1926" s="62" t="s">
        <v>3046</v>
      </c>
      <c r="B1926" s="911" t="s">
        <v>3047</v>
      </c>
      <c r="C1926" s="912"/>
      <c r="D1926" s="61"/>
    </row>
    <row r="1927" spans="1:4" ht="24.6" customHeight="1" thickBot="1" x14ac:dyDescent="0.25">
      <c r="A1927" s="62" t="s">
        <v>3048</v>
      </c>
      <c r="B1927" s="911" t="s">
        <v>3049</v>
      </c>
      <c r="C1927" s="912"/>
      <c r="D1927" s="61"/>
    </row>
    <row r="1928" spans="1:4" ht="24.6" customHeight="1" thickBot="1" x14ac:dyDescent="0.25">
      <c r="A1928" s="62" t="s">
        <v>3050</v>
      </c>
      <c r="B1928" s="911" t="s">
        <v>3051</v>
      </c>
      <c r="C1928" s="912"/>
      <c r="D1928" s="61"/>
    </row>
    <row r="1929" spans="1:4" ht="24.6" customHeight="1" thickBot="1" x14ac:dyDescent="0.25">
      <c r="A1929" s="62" t="s">
        <v>3052</v>
      </c>
      <c r="B1929" s="911" t="s">
        <v>3053</v>
      </c>
      <c r="C1929" s="912"/>
      <c r="D1929" s="61"/>
    </row>
    <row r="1930" spans="1:4" ht="24.6" customHeight="1" thickBot="1" x14ac:dyDescent="0.25">
      <c r="A1930" s="62" t="s">
        <v>3054</v>
      </c>
      <c r="B1930" s="911" t="s">
        <v>3055</v>
      </c>
      <c r="C1930" s="912"/>
      <c r="D1930" s="61"/>
    </row>
    <row r="1931" spans="1:4" ht="24.6" customHeight="1" thickBot="1" x14ac:dyDescent="0.25">
      <c r="A1931" s="911" t="s">
        <v>3056</v>
      </c>
      <c r="B1931" s="913"/>
      <c r="C1931" s="912"/>
      <c r="D1931" s="61"/>
    </row>
    <row r="1932" spans="1:4" ht="24.6" customHeight="1" thickBot="1" x14ac:dyDescent="0.25">
      <c r="A1932" s="911" t="s">
        <v>3057</v>
      </c>
      <c r="B1932" s="913"/>
      <c r="C1932" s="912"/>
      <c r="D1932" s="61"/>
    </row>
    <row r="1933" spans="1:4" ht="24.6" customHeight="1" thickBot="1" x14ac:dyDescent="0.25">
      <c r="A1933" s="62" t="s">
        <v>3058</v>
      </c>
      <c r="B1933" s="63" t="s">
        <v>1297</v>
      </c>
      <c r="C1933" s="61"/>
      <c r="D1933" s="61"/>
    </row>
    <row r="1934" spans="1:4" ht="24.6" customHeight="1" thickBot="1" x14ac:dyDescent="0.25">
      <c r="A1934" s="62" t="s">
        <v>3059</v>
      </c>
      <c r="B1934" s="63" t="s">
        <v>3060</v>
      </c>
      <c r="C1934" s="61"/>
      <c r="D1934" s="61"/>
    </row>
    <row r="1935" spans="1:4" ht="24.6" customHeight="1" thickBot="1" x14ac:dyDescent="0.25">
      <c r="A1935" s="62" t="s">
        <v>3061</v>
      </c>
      <c r="B1935" s="63" t="s">
        <v>3062</v>
      </c>
      <c r="C1935" s="61"/>
      <c r="D1935" s="61"/>
    </row>
    <row r="1936" spans="1:4" ht="24.6" customHeight="1" thickBot="1" x14ac:dyDescent="0.25">
      <c r="A1936" s="62" t="s">
        <v>3063</v>
      </c>
      <c r="B1936" s="63" t="s">
        <v>3053</v>
      </c>
      <c r="C1936" s="61"/>
      <c r="D1936" s="61"/>
    </row>
    <row r="1937" spans="1:4" ht="24.6" customHeight="1" thickBot="1" x14ac:dyDescent="0.25">
      <c r="A1937" s="62" t="s">
        <v>3064</v>
      </c>
      <c r="B1937" s="63" t="s">
        <v>3055</v>
      </c>
      <c r="C1937" s="61"/>
      <c r="D1937" s="61"/>
    </row>
    <row r="1938" spans="1:4" ht="24.6" customHeight="1" thickBot="1" x14ac:dyDescent="0.25">
      <c r="A1938" s="911" t="s">
        <v>3065</v>
      </c>
      <c r="B1938" s="912"/>
      <c r="C1938" s="61"/>
      <c r="D1938" s="61"/>
    </row>
    <row r="1939" spans="1:4" ht="24.6" customHeight="1" thickBot="1" x14ac:dyDescent="0.25">
      <c r="A1939" s="62" t="s">
        <v>3066</v>
      </c>
      <c r="B1939" s="63" t="s">
        <v>1297</v>
      </c>
      <c r="C1939" s="61"/>
      <c r="D1939" s="61"/>
    </row>
    <row r="1940" spans="1:4" ht="24.6" customHeight="1" thickBot="1" x14ac:dyDescent="0.25">
      <c r="A1940" s="62" t="s">
        <v>3067</v>
      </c>
      <c r="B1940" s="63" t="s">
        <v>3068</v>
      </c>
      <c r="C1940" s="61"/>
      <c r="D1940" s="61"/>
    </row>
    <row r="1941" spans="1:4" ht="24.6" customHeight="1" thickBot="1" x14ac:dyDescent="0.25">
      <c r="A1941" s="62" t="s">
        <v>3069</v>
      </c>
      <c r="B1941" s="63" t="s">
        <v>3070</v>
      </c>
      <c r="C1941" s="61"/>
      <c r="D1941" s="61"/>
    </row>
    <row r="1942" spans="1:4" ht="24.6" customHeight="1" thickBot="1" x14ac:dyDescent="0.25">
      <c r="A1942" s="62" t="s">
        <v>3071</v>
      </c>
      <c r="B1942" s="63" t="s">
        <v>3053</v>
      </c>
      <c r="C1942" s="61"/>
      <c r="D1942" s="61"/>
    </row>
    <row r="1943" spans="1:4" ht="24.6" customHeight="1" thickBot="1" x14ac:dyDescent="0.25">
      <c r="A1943" s="62" t="s">
        <v>3072</v>
      </c>
      <c r="B1943" s="63" t="s">
        <v>3055</v>
      </c>
      <c r="C1943" s="61"/>
      <c r="D1943" s="61"/>
    </row>
    <row r="1944" spans="1:4" ht="24.6" customHeight="1" thickBot="1" x14ac:dyDescent="0.25">
      <c r="A1944" s="911" t="s">
        <v>3073</v>
      </c>
      <c r="B1944" s="912"/>
      <c r="C1944" s="61"/>
      <c r="D1944" s="61"/>
    </row>
    <row r="1945" spans="1:4" ht="24.6" customHeight="1" thickBot="1" x14ac:dyDescent="0.25">
      <c r="A1945" s="62" t="s">
        <v>3074</v>
      </c>
      <c r="B1945" s="63" t="s">
        <v>1297</v>
      </c>
      <c r="C1945" s="61"/>
      <c r="D1945" s="61"/>
    </row>
    <row r="1946" spans="1:4" ht="24.6" customHeight="1" thickBot="1" x14ac:dyDescent="0.25">
      <c r="A1946" s="62" t="s">
        <v>3075</v>
      </c>
      <c r="B1946" s="63" t="s">
        <v>3076</v>
      </c>
      <c r="C1946" s="61"/>
      <c r="D1946" s="61"/>
    </row>
    <row r="1947" spans="1:4" ht="24.6" customHeight="1" thickBot="1" x14ac:dyDescent="0.25">
      <c r="A1947" s="62" t="s">
        <v>3077</v>
      </c>
      <c r="B1947" s="63" t="s">
        <v>3053</v>
      </c>
      <c r="C1947" s="61"/>
      <c r="D1947" s="61"/>
    </row>
    <row r="1948" spans="1:4" ht="24.6" customHeight="1" thickBot="1" x14ac:dyDescent="0.25">
      <c r="A1948" s="62" t="s">
        <v>3078</v>
      </c>
      <c r="B1948" s="63" t="s">
        <v>3055</v>
      </c>
      <c r="C1948" s="61"/>
      <c r="D1948" s="61"/>
    </row>
    <row r="1949" spans="1:4" ht="24.6" customHeight="1" thickBot="1" x14ac:dyDescent="0.25">
      <c r="A1949" s="911" t="s">
        <v>3079</v>
      </c>
      <c r="B1949" s="912"/>
      <c r="C1949" s="61"/>
      <c r="D1949" s="61"/>
    </row>
    <row r="1950" spans="1:4" ht="24.6" customHeight="1" thickBot="1" x14ac:dyDescent="0.25">
      <c r="A1950" s="62" t="s">
        <v>3080</v>
      </c>
      <c r="B1950" s="63" t="s">
        <v>3081</v>
      </c>
      <c r="C1950" s="61"/>
      <c r="D1950" s="61"/>
    </row>
    <row r="1951" spans="1:4" ht="24.6" customHeight="1" thickBot="1" x14ac:dyDescent="0.25">
      <c r="A1951" s="62" t="s">
        <v>3082</v>
      </c>
      <c r="B1951" s="63" t="s">
        <v>3083</v>
      </c>
      <c r="C1951" s="61"/>
      <c r="D1951" s="61"/>
    </row>
    <row r="1952" spans="1:4" ht="24.6" customHeight="1" thickBot="1" x14ac:dyDescent="0.25">
      <c r="A1952" s="62" t="s">
        <v>3084</v>
      </c>
      <c r="B1952" s="63" t="s">
        <v>3053</v>
      </c>
      <c r="C1952" s="61"/>
      <c r="D1952" s="61"/>
    </row>
    <row r="1953" spans="1:4" ht="24.6" customHeight="1" thickBot="1" x14ac:dyDescent="0.25">
      <c r="A1953" s="62" t="s">
        <v>3085</v>
      </c>
      <c r="B1953" s="63" t="s">
        <v>3055</v>
      </c>
      <c r="C1953" s="61"/>
      <c r="D1953" s="61"/>
    </row>
    <row r="1954" spans="1:4" ht="24.6" customHeight="1" thickBot="1" x14ac:dyDescent="0.25">
      <c r="A1954" s="911" t="s">
        <v>3086</v>
      </c>
      <c r="B1954" s="912"/>
      <c r="C1954" s="61"/>
      <c r="D1954" s="61"/>
    </row>
    <row r="1955" spans="1:4" ht="24.6" customHeight="1" thickBot="1" x14ac:dyDescent="0.25">
      <c r="A1955" s="62" t="s">
        <v>3087</v>
      </c>
      <c r="B1955" s="63" t="s">
        <v>3068</v>
      </c>
      <c r="C1955" s="61"/>
      <c r="D1955" s="61"/>
    </row>
    <row r="1956" spans="1:4" ht="24.6" customHeight="1" thickBot="1" x14ac:dyDescent="0.25">
      <c r="A1956" s="62" t="s">
        <v>3088</v>
      </c>
      <c r="B1956" s="63" t="s">
        <v>3089</v>
      </c>
      <c r="C1956" s="61"/>
      <c r="D1956" s="61"/>
    </row>
    <row r="1957" spans="1:4" ht="24.6" customHeight="1" thickBot="1" x14ac:dyDescent="0.25">
      <c r="A1957" s="62" t="s">
        <v>3090</v>
      </c>
      <c r="B1957" s="63" t="s">
        <v>3091</v>
      </c>
      <c r="C1957" s="61"/>
      <c r="D1957" s="61"/>
    </row>
    <row r="1958" spans="1:4" ht="24.6" customHeight="1" thickBot="1" x14ac:dyDescent="0.25">
      <c r="A1958" s="62" t="s">
        <v>3092</v>
      </c>
      <c r="B1958" s="63" t="s">
        <v>3093</v>
      </c>
      <c r="C1958" s="61"/>
      <c r="D1958" s="61"/>
    </row>
    <row r="1959" spans="1:4" ht="24.6" customHeight="1" thickBot="1" x14ac:dyDescent="0.25">
      <c r="A1959" s="62" t="s">
        <v>3094</v>
      </c>
      <c r="B1959" s="63" t="s">
        <v>3095</v>
      </c>
      <c r="C1959" s="61"/>
      <c r="D1959" s="61"/>
    </row>
    <row r="1960" spans="1:4" ht="24.6" customHeight="1" thickBot="1" x14ac:dyDescent="0.25">
      <c r="A1960" s="62" t="s">
        <v>3096</v>
      </c>
      <c r="B1960" s="63" t="s">
        <v>3097</v>
      </c>
      <c r="C1960" s="61"/>
      <c r="D1960" s="61"/>
    </row>
    <row r="1961" spans="1:4" ht="24.6" customHeight="1" thickBot="1" x14ac:dyDescent="0.25">
      <c r="A1961" s="62" t="s">
        <v>3098</v>
      </c>
      <c r="B1961" s="63" t="s">
        <v>3053</v>
      </c>
      <c r="C1961" s="61"/>
      <c r="D1961" s="61"/>
    </row>
    <row r="1962" spans="1:4" ht="24.6" customHeight="1" thickBot="1" x14ac:dyDescent="0.25">
      <c r="A1962" s="911" t="s">
        <v>3099</v>
      </c>
      <c r="B1962" s="912"/>
      <c r="C1962" s="61"/>
      <c r="D1962" s="61"/>
    </row>
    <row r="1963" spans="1:4" ht="24.6" customHeight="1" thickBot="1" x14ac:dyDescent="0.25">
      <c r="A1963" s="62" t="s">
        <v>3100</v>
      </c>
      <c r="B1963" s="63" t="s">
        <v>3101</v>
      </c>
      <c r="C1963" s="61"/>
      <c r="D1963" s="61"/>
    </row>
    <row r="1964" spans="1:4" ht="24.6" customHeight="1" thickBot="1" x14ac:dyDescent="0.25">
      <c r="A1964" s="62" t="s">
        <v>3102</v>
      </c>
      <c r="B1964" s="63" t="s">
        <v>3103</v>
      </c>
      <c r="C1964" s="61"/>
      <c r="D1964" s="61"/>
    </row>
    <row r="1965" spans="1:4" ht="24.6" customHeight="1" thickBot="1" x14ac:dyDescent="0.25">
      <c r="A1965" s="62" t="s">
        <v>3104</v>
      </c>
      <c r="B1965" s="63" t="s">
        <v>3105</v>
      </c>
      <c r="C1965" s="61"/>
      <c r="D1965" s="61"/>
    </row>
    <row r="1966" spans="1:4" ht="24.6" customHeight="1" thickBot="1" x14ac:dyDescent="0.25">
      <c r="A1966" s="62" t="s">
        <v>3106</v>
      </c>
      <c r="B1966" s="63" t="s">
        <v>3107</v>
      </c>
      <c r="C1966" s="61"/>
      <c r="D1966" s="61"/>
    </row>
    <row r="1967" spans="1:4" ht="24.6" customHeight="1" thickBot="1" x14ac:dyDescent="0.25">
      <c r="A1967" s="911" t="s">
        <v>3108</v>
      </c>
      <c r="B1967" s="912"/>
      <c r="C1967" s="61"/>
      <c r="D1967" s="61"/>
    </row>
    <row r="1968" spans="1:4" ht="24.6" customHeight="1" thickBot="1" x14ac:dyDescent="0.25">
      <c r="A1968" s="62" t="s">
        <v>3109</v>
      </c>
      <c r="B1968" s="63" t="s">
        <v>1071</v>
      </c>
      <c r="C1968" s="61"/>
      <c r="D1968" s="61"/>
    </row>
    <row r="1969" spans="1:4" ht="24.6" customHeight="1" thickBot="1" x14ac:dyDescent="0.25">
      <c r="A1969" s="62" t="s">
        <v>3110</v>
      </c>
      <c r="B1969" s="63" t="s">
        <v>1075</v>
      </c>
      <c r="C1969" s="61"/>
      <c r="D1969" s="61"/>
    </row>
    <row r="1970" spans="1:4" ht="24.6" customHeight="1" thickBot="1" x14ac:dyDescent="0.25">
      <c r="A1970" s="62" t="s">
        <v>3111</v>
      </c>
      <c r="B1970" s="63" t="s">
        <v>1878</v>
      </c>
      <c r="C1970" s="61"/>
      <c r="D1970" s="61"/>
    </row>
    <row r="1971" spans="1:4" ht="24.6" customHeight="1" thickBot="1" x14ac:dyDescent="0.25">
      <c r="A1971" s="62" t="s">
        <v>3112</v>
      </c>
      <c r="B1971" s="63" t="s">
        <v>1880</v>
      </c>
      <c r="C1971" s="61"/>
      <c r="D1971" s="61"/>
    </row>
    <row r="1972" spans="1:4" ht="24.6" customHeight="1" thickBot="1" x14ac:dyDescent="0.25">
      <c r="A1972" s="62" t="s">
        <v>3113</v>
      </c>
      <c r="B1972" s="63" t="s">
        <v>1882</v>
      </c>
      <c r="C1972" s="61"/>
      <c r="D1972" s="61"/>
    </row>
    <row r="1973" spans="1:4" ht="24.6" customHeight="1" thickBot="1" x14ac:dyDescent="0.25">
      <c r="A1973" s="62" t="s">
        <v>3114</v>
      </c>
      <c r="B1973" s="63" t="s">
        <v>1081</v>
      </c>
      <c r="C1973" s="61"/>
      <c r="D1973" s="61"/>
    </row>
    <row r="1974" spans="1:4" ht="24.6" customHeight="1" thickBot="1" x14ac:dyDescent="0.25">
      <c r="A1974" s="62" t="s">
        <v>3115</v>
      </c>
      <c r="B1974" s="63" t="s">
        <v>1885</v>
      </c>
      <c r="C1974" s="61"/>
      <c r="D1974" s="61"/>
    </row>
    <row r="1975" spans="1:4" ht="24.6" customHeight="1" thickBot="1" x14ac:dyDescent="0.25">
      <c r="A1975" s="62" t="s">
        <v>3116</v>
      </c>
      <c r="B1975" s="63" t="s">
        <v>1376</v>
      </c>
      <c r="C1975" s="61"/>
      <c r="D1975" s="61"/>
    </row>
    <row r="1976" spans="1:4" ht="24.6" customHeight="1" thickBot="1" x14ac:dyDescent="0.25">
      <c r="A1976" s="62" t="s">
        <v>3117</v>
      </c>
      <c r="B1976" s="63" t="s">
        <v>1888</v>
      </c>
      <c r="C1976" s="61"/>
      <c r="D1976" s="61"/>
    </row>
    <row r="1977" spans="1:4" ht="24.6" customHeight="1" thickBot="1" x14ac:dyDescent="0.25">
      <c r="A1977" s="62" t="s">
        <v>3118</v>
      </c>
      <c r="B1977" s="63" t="s">
        <v>3119</v>
      </c>
      <c r="C1977" s="61"/>
      <c r="D1977" s="61"/>
    </row>
    <row r="1978" spans="1:4" ht="24.6" customHeight="1" thickBot="1" x14ac:dyDescent="0.25">
      <c r="A1978" s="914" t="s">
        <v>3120</v>
      </c>
      <c r="B1978" s="915"/>
      <c r="C1978" s="61"/>
      <c r="D1978" s="61"/>
    </row>
    <row r="1979" spans="1:4" ht="24.6" customHeight="1" thickBot="1" x14ac:dyDescent="0.25">
      <c r="A1979" s="911" t="s">
        <v>415</v>
      </c>
      <c r="B1979" s="912"/>
      <c r="C1979" s="61"/>
      <c r="D1979" s="61"/>
    </row>
    <row r="1980" spans="1:4" ht="24.6" customHeight="1" thickBot="1" x14ac:dyDescent="0.25">
      <c r="A1980" s="911" t="s">
        <v>140</v>
      </c>
      <c r="B1980" s="912"/>
      <c r="C1980" s="61"/>
      <c r="D1980" s="61"/>
    </row>
    <row r="1981" spans="1:4" ht="24.6" customHeight="1" thickBot="1" x14ac:dyDescent="0.25">
      <c r="A1981" s="62" t="s">
        <v>3121</v>
      </c>
      <c r="B1981" s="63" t="s">
        <v>1069</v>
      </c>
      <c r="C1981" s="61"/>
      <c r="D1981" s="61"/>
    </row>
    <row r="1982" spans="1:4" ht="24.6" customHeight="1" thickBot="1" x14ac:dyDescent="0.25">
      <c r="A1982" s="62" t="s">
        <v>3122</v>
      </c>
      <c r="B1982" s="63" t="s">
        <v>1895</v>
      </c>
      <c r="C1982" s="61"/>
      <c r="D1982" s="61"/>
    </row>
    <row r="1983" spans="1:4" ht="24.6" customHeight="1" thickBot="1" x14ac:dyDescent="0.25">
      <c r="A1983" s="62" t="s">
        <v>3123</v>
      </c>
      <c r="B1983" s="63" t="s">
        <v>1071</v>
      </c>
      <c r="C1983" s="61"/>
      <c r="D1983" s="61"/>
    </row>
    <row r="1984" spans="1:4" ht="24.6" customHeight="1" thickBot="1" x14ac:dyDescent="0.25">
      <c r="A1984" s="62" t="s">
        <v>3124</v>
      </c>
      <c r="B1984" s="63" t="s">
        <v>1073</v>
      </c>
      <c r="C1984" s="61"/>
      <c r="D1984" s="61"/>
    </row>
    <row r="1985" spans="1:4" ht="24.6" customHeight="1" thickBot="1" x14ac:dyDescent="0.25">
      <c r="A1985" s="62" t="s">
        <v>3125</v>
      </c>
      <c r="B1985" s="63" t="s">
        <v>1075</v>
      </c>
      <c r="C1985" s="61"/>
      <c r="D1985" s="61"/>
    </row>
    <row r="1986" spans="1:4" ht="24.6" customHeight="1" thickBot="1" x14ac:dyDescent="0.25">
      <c r="A1986" s="62" t="s">
        <v>3126</v>
      </c>
      <c r="B1986" s="63" t="s">
        <v>1930</v>
      </c>
      <c r="C1986" s="61"/>
      <c r="D1986" s="61"/>
    </row>
    <row r="1987" spans="1:4" ht="24.6" customHeight="1" thickBot="1" x14ac:dyDescent="0.25">
      <c r="A1987" s="62" t="s">
        <v>3127</v>
      </c>
      <c r="B1987" s="63" t="s">
        <v>1926</v>
      </c>
      <c r="C1987" s="61"/>
      <c r="D1987" s="61"/>
    </row>
    <row r="1988" spans="1:4" ht="24.6" customHeight="1" thickBot="1" x14ac:dyDescent="0.25">
      <c r="A1988" s="62" t="s">
        <v>3128</v>
      </c>
      <c r="B1988" s="63" t="s">
        <v>1928</v>
      </c>
      <c r="C1988" s="61"/>
      <c r="D1988" s="61"/>
    </row>
    <row r="1989" spans="1:4" ht="24.6" customHeight="1" thickBot="1" x14ac:dyDescent="0.25">
      <c r="A1989" s="62" t="s">
        <v>3129</v>
      </c>
      <c r="B1989" s="63" t="s">
        <v>1268</v>
      </c>
      <c r="C1989" s="61"/>
      <c r="D1989" s="61"/>
    </row>
    <row r="1990" spans="1:4" ht="24.6" customHeight="1" thickBot="1" x14ac:dyDescent="0.25">
      <c r="A1990" s="62" t="s">
        <v>3130</v>
      </c>
      <c r="B1990" s="63" t="s">
        <v>1371</v>
      </c>
      <c r="C1990" s="61"/>
      <c r="D1990" s="61"/>
    </row>
    <row r="1991" spans="1:4" ht="24.6" customHeight="1" thickBot="1" x14ac:dyDescent="0.25">
      <c r="A1991" s="62" t="s">
        <v>3131</v>
      </c>
      <c r="B1991" s="63" t="s">
        <v>1081</v>
      </c>
      <c r="C1991" s="61"/>
      <c r="D1991" s="61"/>
    </row>
    <row r="1992" spans="1:4" ht="24.6" customHeight="1" thickBot="1" x14ac:dyDescent="0.25">
      <c r="A1992" s="62" t="s">
        <v>3132</v>
      </c>
      <c r="B1992" s="63" t="s">
        <v>1688</v>
      </c>
      <c r="C1992" s="61"/>
      <c r="D1992" s="61"/>
    </row>
    <row r="1993" spans="1:4" ht="24.6" customHeight="1" thickBot="1" x14ac:dyDescent="0.25">
      <c r="A1993" s="62" t="s">
        <v>3133</v>
      </c>
      <c r="B1993" s="63" t="s">
        <v>1275</v>
      </c>
      <c r="C1993" s="61"/>
      <c r="D1993" s="61"/>
    </row>
    <row r="1994" spans="1:4" ht="24.6" customHeight="1" thickBot="1" x14ac:dyDescent="0.25">
      <c r="A1994" s="62" t="s">
        <v>3134</v>
      </c>
      <c r="B1994" s="63" t="s">
        <v>1934</v>
      </c>
      <c r="C1994" s="61"/>
      <c r="D1994" s="61"/>
    </row>
    <row r="1995" spans="1:4" ht="24.6" customHeight="1" thickBot="1" x14ac:dyDescent="0.25">
      <c r="A1995" s="911" t="s">
        <v>1091</v>
      </c>
      <c r="B1995" s="912"/>
      <c r="C1995" s="61"/>
      <c r="D1995" s="61"/>
    </row>
    <row r="1996" spans="1:4" ht="24.6" customHeight="1" thickBot="1" x14ac:dyDescent="0.25">
      <c r="A1996" s="62" t="s">
        <v>3135</v>
      </c>
      <c r="B1996" s="63" t="s">
        <v>185</v>
      </c>
      <c r="C1996" s="61"/>
      <c r="D1996" s="61"/>
    </row>
    <row r="1997" spans="1:4" ht="24.6" customHeight="1" thickBot="1" x14ac:dyDescent="0.25">
      <c r="A1997" s="62" t="s">
        <v>3136</v>
      </c>
      <c r="B1997" s="63" t="s">
        <v>3025</v>
      </c>
      <c r="C1997" s="61"/>
      <c r="D1997" s="61"/>
    </row>
    <row r="1998" spans="1:4" ht="24.6" customHeight="1" thickBot="1" x14ac:dyDescent="0.25">
      <c r="A1998" s="62" t="s">
        <v>3137</v>
      </c>
      <c r="B1998" s="63" t="s">
        <v>1096</v>
      </c>
      <c r="C1998" s="61"/>
      <c r="D1998" s="61"/>
    </row>
    <row r="1999" spans="1:4" ht="24.6" customHeight="1" thickBot="1" x14ac:dyDescent="0.25">
      <c r="A1999" s="62" t="s">
        <v>3138</v>
      </c>
      <c r="B1999" s="63" t="s">
        <v>189</v>
      </c>
      <c r="C1999" s="61"/>
      <c r="D1999" s="61"/>
    </row>
    <row r="2000" spans="1:4" ht="24.6" customHeight="1" thickBot="1" x14ac:dyDescent="0.25">
      <c r="A2000" s="62" t="s">
        <v>3139</v>
      </c>
      <c r="B2000" s="63" t="s">
        <v>191</v>
      </c>
      <c r="C2000" s="61"/>
      <c r="D2000" s="61"/>
    </row>
    <row r="2001" spans="1:4" ht="24.6" customHeight="1" thickBot="1" x14ac:dyDescent="0.25">
      <c r="A2001" s="62" t="s">
        <v>3140</v>
      </c>
      <c r="B2001" s="63" t="s">
        <v>193</v>
      </c>
      <c r="C2001" s="61"/>
      <c r="D2001" s="61"/>
    </row>
    <row r="2002" spans="1:4" ht="24.6" customHeight="1" thickBot="1" x14ac:dyDescent="0.25">
      <c r="A2002" s="62" t="s">
        <v>3141</v>
      </c>
      <c r="B2002" s="63" t="s">
        <v>195</v>
      </c>
      <c r="C2002" s="61"/>
      <c r="D2002" s="61"/>
    </row>
    <row r="2003" spans="1:4" ht="24.6" customHeight="1" thickBot="1" x14ac:dyDescent="0.25">
      <c r="A2003" s="62" t="s">
        <v>3142</v>
      </c>
      <c r="B2003" s="63" t="s">
        <v>156</v>
      </c>
      <c r="C2003" s="61"/>
      <c r="D2003" s="61"/>
    </row>
    <row r="2004" spans="1:4" ht="24.6" customHeight="1" thickBot="1" x14ac:dyDescent="0.25">
      <c r="A2004" s="911" t="s">
        <v>1170</v>
      </c>
      <c r="B2004" s="912"/>
      <c r="C2004" s="61"/>
      <c r="D2004" s="61"/>
    </row>
    <row r="2005" spans="1:4" ht="24.6" customHeight="1" thickBot="1" x14ac:dyDescent="0.25">
      <c r="A2005" s="62" t="s">
        <v>3143</v>
      </c>
      <c r="B2005" s="63" t="s">
        <v>3144</v>
      </c>
      <c r="C2005" s="61"/>
      <c r="D2005" s="61"/>
    </row>
    <row r="2006" spans="1:4" ht="24.6" customHeight="1" thickBot="1" x14ac:dyDescent="0.25">
      <c r="A2006" s="62" t="s">
        <v>3145</v>
      </c>
      <c r="B2006" s="63" t="s">
        <v>3146</v>
      </c>
      <c r="C2006" s="61"/>
      <c r="D2006" s="61"/>
    </row>
    <row r="2007" spans="1:4" ht="24.6" customHeight="1" thickBot="1" x14ac:dyDescent="0.25">
      <c r="A2007" s="62" t="s">
        <v>3147</v>
      </c>
      <c r="B2007" s="63" t="s">
        <v>3148</v>
      </c>
      <c r="C2007" s="61"/>
      <c r="D2007" s="61"/>
    </row>
    <row r="2008" spans="1:4" ht="24.6" customHeight="1" thickBot="1" x14ac:dyDescent="0.25">
      <c r="A2008" s="62" t="s">
        <v>3149</v>
      </c>
      <c r="B2008" s="63" t="s">
        <v>3150</v>
      </c>
      <c r="C2008" s="61"/>
      <c r="D2008" s="61"/>
    </row>
    <row r="2009" spans="1:4" ht="24.6" customHeight="1" thickBot="1" x14ac:dyDescent="0.25">
      <c r="A2009" s="62" t="s">
        <v>3151</v>
      </c>
      <c r="B2009" s="63" t="s">
        <v>3152</v>
      </c>
      <c r="C2009" s="61"/>
      <c r="D2009" s="61"/>
    </row>
    <row r="2010" spans="1:4" ht="24.6" customHeight="1" thickBot="1" x14ac:dyDescent="0.25">
      <c r="A2010" s="62" t="s">
        <v>3153</v>
      </c>
      <c r="B2010" s="63" t="s">
        <v>3154</v>
      </c>
      <c r="C2010" s="61"/>
      <c r="D2010" s="61"/>
    </row>
    <row r="2011" spans="1:4" ht="24.6" customHeight="1" thickBot="1" x14ac:dyDescent="0.25">
      <c r="A2011" s="62" t="s">
        <v>3155</v>
      </c>
      <c r="B2011" s="63" t="s">
        <v>3156</v>
      </c>
      <c r="C2011" s="61"/>
      <c r="D2011" s="61"/>
    </row>
    <row r="2012" spans="1:4" ht="24.6" customHeight="1" thickBot="1" x14ac:dyDescent="0.25">
      <c r="A2012" s="62" t="s">
        <v>3157</v>
      </c>
      <c r="B2012" s="63" t="s">
        <v>3158</v>
      </c>
      <c r="C2012" s="61"/>
      <c r="D2012" s="61"/>
    </row>
    <row r="2013" spans="1:4" ht="24.6" customHeight="1" thickBot="1" x14ac:dyDescent="0.25">
      <c r="A2013" s="62" t="s">
        <v>3159</v>
      </c>
      <c r="B2013" s="63" t="s">
        <v>3160</v>
      </c>
      <c r="C2013" s="61"/>
      <c r="D2013" s="61"/>
    </row>
    <row r="2014" spans="1:4" ht="24.6" customHeight="1" thickBot="1" x14ac:dyDescent="0.25">
      <c r="A2014" s="62" t="s">
        <v>3161</v>
      </c>
      <c r="B2014" s="63" t="s">
        <v>3162</v>
      </c>
      <c r="C2014" s="61"/>
      <c r="D2014" s="61"/>
    </row>
    <row r="2015" spans="1:4" ht="24.6" customHeight="1" thickBot="1" x14ac:dyDescent="0.25">
      <c r="A2015" s="62" t="s">
        <v>3163</v>
      </c>
      <c r="B2015" s="63" t="s">
        <v>3164</v>
      </c>
      <c r="C2015" s="61"/>
      <c r="D2015" s="61"/>
    </row>
    <row r="2016" spans="1:4" ht="24.6" customHeight="1" thickBot="1" x14ac:dyDescent="0.25">
      <c r="A2016" s="62" t="s">
        <v>3165</v>
      </c>
      <c r="B2016" s="63" t="s">
        <v>3166</v>
      </c>
      <c r="C2016" s="61"/>
      <c r="D2016" s="61"/>
    </row>
    <row r="2017" spans="1:4" ht="24.6" customHeight="1" thickBot="1" x14ac:dyDescent="0.25">
      <c r="A2017" s="62" t="s">
        <v>3167</v>
      </c>
      <c r="B2017" s="63" t="s">
        <v>3168</v>
      </c>
      <c r="C2017" s="61"/>
      <c r="D2017" s="61"/>
    </row>
    <row r="2018" spans="1:4" ht="24.6" customHeight="1" thickBot="1" x14ac:dyDescent="0.25">
      <c r="A2018" s="62" t="s">
        <v>3169</v>
      </c>
      <c r="B2018" s="63" t="s">
        <v>3170</v>
      </c>
      <c r="C2018" s="61"/>
      <c r="D2018" s="61"/>
    </row>
    <row r="2019" spans="1:4" ht="24.6" customHeight="1" thickBot="1" x14ac:dyDescent="0.25">
      <c r="A2019" s="62" t="s">
        <v>3171</v>
      </c>
      <c r="B2019" s="63" t="s">
        <v>3172</v>
      </c>
      <c r="C2019" s="61"/>
      <c r="D2019" s="61"/>
    </row>
    <row r="2020" spans="1:4" ht="24.6" customHeight="1" thickBot="1" x14ac:dyDescent="0.25">
      <c r="A2020" s="62" t="s">
        <v>3173</v>
      </c>
      <c r="B2020" s="63" t="s">
        <v>3174</v>
      </c>
      <c r="C2020" s="61"/>
      <c r="D2020" s="61"/>
    </row>
    <row r="2021" spans="1:4" ht="24.6" customHeight="1" x14ac:dyDescent="0.25">
      <c r="A2021" s="922" t="s">
        <v>3175</v>
      </c>
      <c r="B2021" s="923"/>
      <c r="C2021" s="61"/>
      <c r="D2021" s="67"/>
    </row>
    <row r="2022" spans="1:4" ht="24.6" customHeight="1" thickBot="1" x14ac:dyDescent="0.25">
      <c r="A2022" s="62" t="s">
        <v>3176</v>
      </c>
      <c r="B2022" s="63" t="s">
        <v>3177</v>
      </c>
      <c r="C2022" s="61"/>
      <c r="D2022" s="61"/>
    </row>
    <row r="2023" spans="1:4" ht="24.6" customHeight="1" thickBot="1" x14ac:dyDescent="0.25">
      <c r="A2023" s="62" t="s">
        <v>3178</v>
      </c>
      <c r="B2023" s="63" t="s">
        <v>3179</v>
      </c>
      <c r="C2023" s="61"/>
      <c r="D2023" s="61"/>
    </row>
    <row r="2024" spans="1:4" ht="24.6" customHeight="1" thickBot="1" x14ac:dyDescent="0.25">
      <c r="A2024" s="62" t="s">
        <v>3180</v>
      </c>
      <c r="B2024" s="63" t="s">
        <v>3181</v>
      </c>
      <c r="C2024" s="61"/>
      <c r="D2024" s="61"/>
    </row>
    <row r="2025" spans="1:4" ht="24.6" customHeight="1" thickBot="1" x14ac:dyDescent="0.25">
      <c r="A2025" s="62" t="s">
        <v>3182</v>
      </c>
      <c r="B2025" s="63" t="s">
        <v>3183</v>
      </c>
      <c r="C2025" s="61"/>
      <c r="D2025" s="61"/>
    </row>
    <row r="2026" spans="1:4" ht="24.6" customHeight="1" thickBot="1" x14ac:dyDescent="0.25">
      <c r="A2026" s="62" t="s">
        <v>3184</v>
      </c>
      <c r="B2026" s="63" t="s">
        <v>3185</v>
      </c>
      <c r="C2026" s="61"/>
      <c r="D2026" s="61"/>
    </row>
    <row r="2027" spans="1:4" ht="24.6" customHeight="1" thickBot="1" x14ac:dyDescent="0.25">
      <c r="A2027" s="62" t="s">
        <v>3186</v>
      </c>
      <c r="B2027" s="63" t="s">
        <v>3187</v>
      </c>
      <c r="C2027" s="61"/>
      <c r="D2027" s="61"/>
    </row>
    <row r="2028" spans="1:4" ht="24.6" customHeight="1" thickBot="1" x14ac:dyDescent="0.25">
      <c r="A2028" s="62" t="s">
        <v>3188</v>
      </c>
      <c r="B2028" s="63" t="s">
        <v>3189</v>
      </c>
      <c r="C2028" s="61"/>
      <c r="D2028" s="61"/>
    </row>
    <row r="2029" spans="1:4" ht="24.6" customHeight="1" thickBot="1" x14ac:dyDescent="0.25">
      <c r="A2029" s="62" t="s">
        <v>3190</v>
      </c>
      <c r="B2029" s="63" t="s">
        <v>3191</v>
      </c>
      <c r="C2029" s="61"/>
      <c r="D2029" s="61"/>
    </row>
    <row r="2030" spans="1:4" ht="24.6" customHeight="1" thickBot="1" x14ac:dyDescent="0.25">
      <c r="A2030" s="62" t="s">
        <v>3192</v>
      </c>
      <c r="B2030" s="63" t="s">
        <v>3193</v>
      </c>
      <c r="C2030" s="61"/>
      <c r="D2030" s="61"/>
    </row>
    <row r="2031" spans="1:4" ht="24.6" customHeight="1" thickBot="1" x14ac:dyDescent="0.25">
      <c r="A2031" s="62" t="s">
        <v>3194</v>
      </c>
      <c r="B2031" s="63" t="s">
        <v>3195</v>
      </c>
      <c r="C2031" s="61"/>
      <c r="D2031" s="61"/>
    </row>
    <row r="2032" spans="1:4" ht="24.6" customHeight="1" thickBot="1" x14ac:dyDescent="0.25">
      <c r="A2032" s="62" t="s">
        <v>3196</v>
      </c>
      <c r="B2032" s="63" t="s">
        <v>3197</v>
      </c>
      <c r="C2032" s="61"/>
      <c r="D2032" s="61"/>
    </row>
    <row r="2033" spans="1:4" ht="24.6" customHeight="1" thickBot="1" x14ac:dyDescent="0.25">
      <c r="A2033" s="62" t="s">
        <v>3198</v>
      </c>
      <c r="B2033" s="63" t="s">
        <v>3199</v>
      </c>
      <c r="C2033" s="61"/>
      <c r="D2033" s="61"/>
    </row>
    <row r="2034" spans="1:4" ht="24.6" customHeight="1" thickBot="1" x14ac:dyDescent="0.25">
      <c r="A2034" s="62" t="s">
        <v>3200</v>
      </c>
      <c r="B2034" s="63" t="s">
        <v>3201</v>
      </c>
      <c r="C2034" s="61"/>
      <c r="D2034" s="61"/>
    </row>
    <row r="2035" spans="1:4" ht="24.6" customHeight="1" thickBot="1" x14ac:dyDescent="0.25">
      <c r="A2035" s="62" t="s">
        <v>3202</v>
      </c>
      <c r="B2035" s="63" t="s">
        <v>3203</v>
      </c>
      <c r="C2035" s="61"/>
      <c r="D2035" s="61"/>
    </row>
    <row r="2036" spans="1:4" ht="24.6" customHeight="1" thickBot="1" x14ac:dyDescent="0.25">
      <c r="A2036" s="62" t="s">
        <v>3204</v>
      </c>
      <c r="B2036" s="63" t="s">
        <v>3205</v>
      </c>
      <c r="C2036" s="61"/>
      <c r="D2036" s="61"/>
    </row>
    <row r="2037" spans="1:4" ht="24.6" customHeight="1" thickBot="1" x14ac:dyDescent="0.25">
      <c r="A2037" s="62" t="s">
        <v>3206</v>
      </c>
      <c r="B2037" s="63" t="s">
        <v>3207</v>
      </c>
      <c r="C2037" s="61"/>
      <c r="D2037" s="61"/>
    </row>
    <row r="2038" spans="1:4" ht="24.6" customHeight="1" thickBot="1" x14ac:dyDescent="0.25">
      <c r="A2038" s="62" t="s">
        <v>3208</v>
      </c>
      <c r="B2038" s="63" t="s">
        <v>3209</v>
      </c>
      <c r="C2038" s="61"/>
      <c r="D2038" s="61"/>
    </row>
    <row r="2039" spans="1:4" ht="24.6" customHeight="1" thickBot="1" x14ac:dyDescent="0.25">
      <c r="A2039" s="62" t="s">
        <v>3210</v>
      </c>
      <c r="B2039" s="63" t="s">
        <v>3211</v>
      </c>
      <c r="C2039" s="61"/>
      <c r="D2039" s="61"/>
    </row>
    <row r="2040" spans="1:4" ht="24.6" customHeight="1" thickBot="1" x14ac:dyDescent="0.25">
      <c r="A2040" s="62" t="s">
        <v>3212</v>
      </c>
      <c r="B2040" s="63" t="s">
        <v>3213</v>
      </c>
      <c r="C2040" s="61"/>
      <c r="D2040" s="61"/>
    </row>
    <row r="2041" spans="1:4" ht="24.6" customHeight="1" thickBot="1" x14ac:dyDescent="0.25">
      <c r="A2041" s="62" t="s">
        <v>3214</v>
      </c>
      <c r="B2041" s="63" t="s">
        <v>3215</v>
      </c>
      <c r="C2041" s="61"/>
      <c r="D2041" s="61"/>
    </row>
    <row r="2042" spans="1:4" ht="24.6" customHeight="1" thickBot="1" x14ac:dyDescent="0.25">
      <c r="A2042" s="62" t="s">
        <v>3216</v>
      </c>
      <c r="B2042" s="63" t="s">
        <v>2094</v>
      </c>
      <c r="C2042" s="61"/>
      <c r="D2042" s="61"/>
    </row>
    <row r="2043" spans="1:4" ht="24.6" customHeight="1" thickBot="1" x14ac:dyDescent="0.25">
      <c r="A2043" s="62" t="s">
        <v>3217</v>
      </c>
      <c r="B2043" s="63" t="s">
        <v>3218</v>
      </c>
      <c r="C2043" s="61"/>
      <c r="D2043" s="61"/>
    </row>
    <row r="2044" spans="1:4" ht="24.6" customHeight="1" thickBot="1" x14ac:dyDescent="0.25">
      <c r="A2044" s="62" t="s">
        <v>3219</v>
      </c>
      <c r="B2044" s="63" t="s">
        <v>3220</v>
      </c>
      <c r="C2044" s="61"/>
      <c r="D2044" s="61"/>
    </row>
    <row r="2045" spans="1:4" ht="24.6" customHeight="1" thickBot="1" x14ac:dyDescent="0.25">
      <c r="A2045" s="62" t="s">
        <v>3221</v>
      </c>
      <c r="B2045" s="63" t="s">
        <v>2226</v>
      </c>
      <c r="C2045" s="61"/>
      <c r="D2045" s="61"/>
    </row>
    <row r="2046" spans="1:4" ht="24.6" customHeight="1" thickBot="1" x14ac:dyDescent="0.25">
      <c r="A2046" s="62" t="s">
        <v>3222</v>
      </c>
      <c r="B2046" s="63" t="s">
        <v>2008</v>
      </c>
      <c r="C2046" s="61"/>
      <c r="D2046" s="61"/>
    </row>
    <row r="2047" spans="1:4" ht="24.6" customHeight="1" thickBot="1" x14ac:dyDescent="0.25">
      <c r="A2047" s="62" t="s">
        <v>3223</v>
      </c>
      <c r="B2047" s="63" t="s">
        <v>3224</v>
      </c>
      <c r="C2047" s="61"/>
      <c r="D2047" s="61"/>
    </row>
    <row r="2048" spans="1:4" ht="24.6" customHeight="1" thickBot="1" x14ac:dyDescent="0.25">
      <c r="A2048" s="62" t="s">
        <v>3225</v>
      </c>
      <c r="B2048" s="63" t="s">
        <v>1824</v>
      </c>
      <c r="C2048" s="61"/>
      <c r="D2048" s="61"/>
    </row>
    <row r="2049" spans="1:4" ht="24.6" customHeight="1" thickBot="1" x14ac:dyDescent="0.25">
      <c r="A2049" s="62" t="s">
        <v>3226</v>
      </c>
      <c r="B2049" s="63" t="s">
        <v>2224</v>
      </c>
      <c r="C2049" s="61"/>
      <c r="D2049" s="61"/>
    </row>
    <row r="2050" spans="1:4" ht="24.6" customHeight="1" thickBot="1" x14ac:dyDescent="0.25">
      <c r="A2050" s="62" t="s">
        <v>3227</v>
      </c>
      <c r="B2050" s="63" t="s">
        <v>2231</v>
      </c>
      <c r="C2050" s="61"/>
      <c r="D2050" s="61"/>
    </row>
    <row r="2051" spans="1:4" ht="24.6" customHeight="1" thickBot="1" x14ac:dyDescent="0.25">
      <c r="A2051" s="62" t="s">
        <v>3228</v>
      </c>
      <c r="B2051" s="63" t="s">
        <v>3229</v>
      </c>
      <c r="C2051" s="61"/>
      <c r="D2051" s="61"/>
    </row>
    <row r="2052" spans="1:4" ht="24.6" customHeight="1" thickBot="1" x14ac:dyDescent="0.25">
      <c r="A2052" s="62" t="s">
        <v>3230</v>
      </c>
      <c r="B2052" s="63" t="s">
        <v>2234</v>
      </c>
      <c r="C2052" s="61"/>
      <c r="D2052" s="61"/>
    </row>
    <row r="2053" spans="1:4" ht="24.6" customHeight="1" thickBot="1" x14ac:dyDescent="0.25">
      <c r="A2053" s="62" t="s">
        <v>3231</v>
      </c>
      <c r="B2053" s="63" t="s">
        <v>2236</v>
      </c>
      <c r="C2053" s="61"/>
      <c r="D2053" s="61"/>
    </row>
    <row r="2054" spans="1:4" ht="24.6" customHeight="1" thickBot="1" x14ac:dyDescent="0.25">
      <c r="A2054" s="62" t="s">
        <v>3232</v>
      </c>
      <c r="B2054" s="63" t="s">
        <v>2051</v>
      </c>
      <c r="C2054" s="61"/>
      <c r="D2054" s="61"/>
    </row>
    <row r="2055" spans="1:4" ht="24.6" customHeight="1" thickBot="1" x14ac:dyDescent="0.25">
      <c r="A2055" s="62" t="s">
        <v>3233</v>
      </c>
      <c r="B2055" s="63" t="s">
        <v>2053</v>
      </c>
      <c r="C2055" s="61"/>
      <c r="D2055" s="61"/>
    </row>
    <row r="2056" spans="1:4" ht="24.6" customHeight="1" thickBot="1" x14ac:dyDescent="0.25">
      <c r="A2056" s="62" t="s">
        <v>3234</v>
      </c>
      <c r="B2056" s="63" t="s">
        <v>2055</v>
      </c>
      <c r="C2056" s="61"/>
      <c r="D2056" s="61"/>
    </row>
    <row r="2057" spans="1:4" ht="24.6" customHeight="1" thickBot="1" x14ac:dyDescent="0.25">
      <c r="A2057" s="62" t="s">
        <v>3235</v>
      </c>
      <c r="B2057" s="63" t="s">
        <v>2057</v>
      </c>
      <c r="C2057" s="61"/>
      <c r="D2057" s="61"/>
    </row>
    <row r="2058" spans="1:4" ht="24.6" customHeight="1" thickBot="1" x14ac:dyDescent="0.25">
      <c r="A2058" s="62" t="s">
        <v>3236</v>
      </c>
      <c r="B2058" s="63" t="s">
        <v>2059</v>
      </c>
      <c r="C2058" s="61"/>
      <c r="D2058" s="61"/>
    </row>
    <row r="2059" spans="1:4" ht="24.6" customHeight="1" thickBot="1" x14ac:dyDescent="0.25">
      <c r="A2059" s="62" t="s">
        <v>3237</v>
      </c>
      <c r="B2059" s="63" t="s">
        <v>2061</v>
      </c>
      <c r="C2059" s="61"/>
      <c r="D2059" s="61"/>
    </row>
    <row r="2060" spans="1:4" ht="24.6" customHeight="1" thickBot="1" x14ac:dyDescent="0.25">
      <c r="A2060" s="62" t="s">
        <v>3238</v>
      </c>
      <c r="B2060" s="63" t="s">
        <v>2065</v>
      </c>
      <c r="C2060" s="61"/>
      <c r="D2060" s="61"/>
    </row>
    <row r="2061" spans="1:4" ht="24.6" customHeight="1" thickBot="1" x14ac:dyDescent="0.25">
      <c r="A2061" s="62" t="s">
        <v>3239</v>
      </c>
      <c r="B2061" s="63" t="s">
        <v>3240</v>
      </c>
      <c r="C2061" s="61"/>
      <c r="D2061" s="61"/>
    </row>
    <row r="2062" spans="1:4" ht="24.6" customHeight="1" thickBot="1" x14ac:dyDescent="0.25">
      <c r="A2062" s="62" t="s">
        <v>3241</v>
      </c>
      <c r="B2062" s="63" t="s">
        <v>3242</v>
      </c>
      <c r="C2062" s="61"/>
      <c r="D2062" s="61"/>
    </row>
    <row r="2063" spans="1:4" ht="24.6" customHeight="1" thickBot="1" x14ac:dyDescent="0.25">
      <c r="A2063" s="62" t="s">
        <v>3243</v>
      </c>
      <c r="B2063" s="63" t="s">
        <v>3244</v>
      </c>
      <c r="C2063" s="61"/>
      <c r="D2063" s="61"/>
    </row>
    <row r="2064" spans="1:4" ht="24.6" customHeight="1" thickBot="1" x14ac:dyDescent="0.25">
      <c r="A2064" s="62" t="s">
        <v>3245</v>
      </c>
      <c r="B2064" s="63" t="s">
        <v>3246</v>
      </c>
      <c r="C2064" s="61"/>
      <c r="D2064" s="61"/>
    </row>
    <row r="2065" spans="1:4" ht="24.6" customHeight="1" thickBot="1" x14ac:dyDescent="0.25">
      <c r="A2065" s="62" t="s">
        <v>3247</v>
      </c>
      <c r="B2065" s="63" t="s">
        <v>2098</v>
      </c>
      <c r="C2065" s="61"/>
      <c r="D2065" s="61"/>
    </row>
    <row r="2066" spans="1:4" ht="24.6" customHeight="1" thickBot="1" x14ac:dyDescent="0.25">
      <c r="A2066" s="911" t="s">
        <v>3248</v>
      </c>
      <c r="B2066" s="912"/>
      <c r="C2066" s="61"/>
      <c r="D2066" s="61"/>
    </row>
    <row r="2067" spans="1:4" ht="24.6" customHeight="1" thickBot="1" x14ac:dyDescent="0.25">
      <c r="A2067" s="62" t="s">
        <v>3249</v>
      </c>
      <c r="B2067" s="63" t="s">
        <v>3250</v>
      </c>
      <c r="C2067" s="61"/>
      <c r="D2067" s="61"/>
    </row>
    <row r="2068" spans="1:4" ht="24.6" customHeight="1" thickBot="1" x14ac:dyDescent="0.25">
      <c r="A2068" s="62" t="s">
        <v>3251</v>
      </c>
      <c r="B2068" s="63" t="s">
        <v>2254</v>
      </c>
      <c r="C2068" s="61"/>
      <c r="D2068" s="61"/>
    </row>
    <row r="2069" spans="1:4" ht="24.6" customHeight="1" thickBot="1" x14ac:dyDescent="0.25">
      <c r="A2069" s="62" t="s">
        <v>3252</v>
      </c>
      <c r="B2069" s="63" t="s">
        <v>2256</v>
      </c>
      <c r="C2069" s="61"/>
      <c r="D2069" s="61"/>
    </row>
    <row r="2070" spans="1:4" ht="24.6" customHeight="1" x14ac:dyDescent="0.25">
      <c r="A2070" s="922" t="s">
        <v>1102</v>
      </c>
      <c r="B2070" s="923"/>
      <c r="C2070" s="61"/>
      <c r="D2070" s="67"/>
    </row>
    <row r="2071" spans="1:4" ht="24.6" customHeight="1" thickBot="1" x14ac:dyDescent="0.25">
      <c r="A2071" s="62" t="s">
        <v>3253</v>
      </c>
      <c r="B2071" s="63" t="s">
        <v>3254</v>
      </c>
      <c r="C2071" s="61"/>
      <c r="D2071" s="61"/>
    </row>
    <row r="2072" spans="1:4" ht="24.6" customHeight="1" thickBot="1" x14ac:dyDescent="0.25">
      <c r="A2072" s="62" t="s">
        <v>3255</v>
      </c>
      <c r="B2072" s="63" t="s">
        <v>3256</v>
      </c>
      <c r="C2072" s="61"/>
      <c r="D2072" s="61"/>
    </row>
    <row r="2073" spans="1:4" ht="24.6" customHeight="1" thickBot="1" x14ac:dyDescent="0.25">
      <c r="A2073" s="911" t="s">
        <v>1107</v>
      </c>
      <c r="B2073" s="912"/>
      <c r="C2073" s="61"/>
      <c r="D2073" s="61"/>
    </row>
    <row r="2074" spans="1:4" ht="24.6" customHeight="1" thickBot="1" x14ac:dyDescent="0.25">
      <c r="A2074" s="62" t="s">
        <v>3257</v>
      </c>
      <c r="B2074" s="63" t="s">
        <v>3258</v>
      </c>
      <c r="C2074" s="61"/>
      <c r="D2074" s="61"/>
    </row>
    <row r="2075" spans="1:4" ht="24.6" customHeight="1" thickBot="1" x14ac:dyDescent="0.25">
      <c r="A2075" s="62" t="s">
        <v>3259</v>
      </c>
      <c r="B2075" s="63" t="s">
        <v>2136</v>
      </c>
      <c r="C2075" s="61"/>
      <c r="D2075" s="61"/>
    </row>
    <row r="2076" spans="1:4" ht="24.6" customHeight="1" thickBot="1" x14ac:dyDescent="0.25">
      <c r="A2076" s="62" t="s">
        <v>3260</v>
      </c>
      <c r="B2076" s="63" t="s">
        <v>3261</v>
      </c>
      <c r="C2076" s="61"/>
      <c r="D2076" s="61"/>
    </row>
    <row r="2077" spans="1:4" ht="24.6" customHeight="1" thickBot="1" x14ac:dyDescent="0.25">
      <c r="A2077" s="62" t="s">
        <v>3262</v>
      </c>
      <c r="B2077" s="63" t="s">
        <v>1673</v>
      </c>
      <c r="C2077" s="61"/>
      <c r="D2077" s="61"/>
    </row>
    <row r="2078" spans="1:4" ht="24.6" customHeight="1" thickBot="1" x14ac:dyDescent="0.25">
      <c r="A2078" s="911" t="s">
        <v>3263</v>
      </c>
      <c r="B2078" s="912"/>
      <c r="C2078" s="61"/>
      <c r="D2078" s="61"/>
    </row>
    <row r="2079" spans="1:4" ht="24.6" customHeight="1" thickBot="1" x14ac:dyDescent="0.25">
      <c r="A2079" s="62" t="s">
        <v>3264</v>
      </c>
      <c r="B2079" s="63" t="s">
        <v>1071</v>
      </c>
      <c r="C2079" s="61"/>
      <c r="D2079" s="61"/>
    </row>
    <row r="2080" spans="1:4" ht="24.6" customHeight="1" thickBot="1" x14ac:dyDescent="0.25">
      <c r="A2080" s="62" t="s">
        <v>3265</v>
      </c>
      <c r="B2080" s="63" t="s">
        <v>1924</v>
      </c>
      <c r="C2080" s="61"/>
      <c r="D2080" s="61"/>
    </row>
    <row r="2081" spans="1:4" ht="24.6" customHeight="1" thickBot="1" x14ac:dyDescent="0.25">
      <c r="A2081" s="62" t="s">
        <v>3266</v>
      </c>
      <c r="B2081" s="63" t="s">
        <v>1878</v>
      </c>
      <c r="C2081" s="61"/>
      <c r="D2081" s="61"/>
    </row>
    <row r="2082" spans="1:4" ht="24.6" customHeight="1" thickBot="1" x14ac:dyDescent="0.25">
      <c r="A2082" s="62" t="s">
        <v>3267</v>
      </c>
      <c r="B2082" s="63" t="s">
        <v>1880</v>
      </c>
      <c r="C2082" s="61"/>
      <c r="D2082" s="61"/>
    </row>
    <row r="2083" spans="1:4" ht="24.6" customHeight="1" thickBot="1" x14ac:dyDescent="0.25">
      <c r="A2083" s="62" t="s">
        <v>3268</v>
      </c>
      <c r="B2083" s="63" t="s">
        <v>1930</v>
      </c>
      <c r="C2083" s="61"/>
      <c r="D2083" s="61"/>
    </row>
    <row r="2084" spans="1:4" ht="24.6" customHeight="1" thickBot="1" x14ac:dyDescent="0.25">
      <c r="A2084" s="62" t="s">
        <v>3269</v>
      </c>
      <c r="B2084" s="63" t="s">
        <v>1882</v>
      </c>
      <c r="C2084" s="61"/>
      <c r="D2084" s="61"/>
    </row>
    <row r="2085" spans="1:4" ht="24.6" customHeight="1" thickBot="1" x14ac:dyDescent="0.25">
      <c r="A2085" s="62" t="s">
        <v>3270</v>
      </c>
      <c r="B2085" s="63" t="s">
        <v>1081</v>
      </c>
      <c r="C2085" s="61"/>
      <c r="D2085" s="61"/>
    </row>
    <row r="2086" spans="1:4" ht="24.6" customHeight="1" thickBot="1" x14ac:dyDescent="0.25">
      <c r="A2086" s="62" t="s">
        <v>3271</v>
      </c>
      <c r="B2086" s="63" t="s">
        <v>2161</v>
      </c>
      <c r="C2086" s="61"/>
      <c r="D2086" s="61"/>
    </row>
    <row r="2087" spans="1:4" ht="24.6" customHeight="1" thickBot="1" x14ac:dyDescent="0.25">
      <c r="A2087" s="62" t="s">
        <v>3272</v>
      </c>
      <c r="B2087" s="63" t="s">
        <v>1885</v>
      </c>
      <c r="C2087" s="61"/>
      <c r="D2087" s="61"/>
    </row>
    <row r="2088" spans="1:4" ht="24.6" customHeight="1" thickBot="1" x14ac:dyDescent="0.25">
      <c r="A2088" s="62" t="s">
        <v>3273</v>
      </c>
      <c r="B2088" s="63" t="s">
        <v>1376</v>
      </c>
      <c r="C2088" s="61"/>
      <c r="D2088" s="61"/>
    </row>
    <row r="2089" spans="1:4" ht="24.6" customHeight="1" thickBot="1" x14ac:dyDescent="0.25">
      <c r="A2089" s="62" t="s">
        <v>3274</v>
      </c>
      <c r="B2089" s="63" t="s">
        <v>1888</v>
      </c>
      <c r="C2089" s="61"/>
      <c r="D2089" s="61"/>
    </row>
    <row r="2090" spans="1:4" ht="24.6" customHeight="1" thickBot="1" x14ac:dyDescent="0.25">
      <c r="A2090" s="62" t="s">
        <v>3275</v>
      </c>
      <c r="B2090" s="63" t="s">
        <v>1890</v>
      </c>
      <c r="C2090" s="61"/>
      <c r="D2090" s="61"/>
    </row>
    <row r="2091" spans="1:4" ht="24.6" customHeight="1" thickBot="1" x14ac:dyDescent="0.25">
      <c r="A2091" s="62" t="s">
        <v>3276</v>
      </c>
      <c r="B2091" s="63" t="s">
        <v>2567</v>
      </c>
      <c r="C2091" s="61"/>
      <c r="D2091" s="61"/>
    </row>
    <row r="2092" spans="1:4" ht="24.6" customHeight="1" thickBot="1" x14ac:dyDescent="0.25">
      <c r="A2092" s="62" t="s">
        <v>3277</v>
      </c>
      <c r="B2092" s="63" t="s">
        <v>2169</v>
      </c>
      <c r="C2092" s="61"/>
      <c r="D2092" s="61"/>
    </row>
    <row r="2093" spans="1:4" ht="24.6" customHeight="1" thickBot="1" x14ac:dyDescent="0.25">
      <c r="A2093" s="62" t="s">
        <v>3278</v>
      </c>
      <c r="B2093" s="63" t="s">
        <v>2171</v>
      </c>
      <c r="C2093" s="61"/>
      <c r="D2093" s="61"/>
    </row>
    <row r="2094" spans="1:4" ht="24.6" customHeight="1" thickBot="1" x14ac:dyDescent="0.25">
      <c r="A2094" s="62" t="s">
        <v>3279</v>
      </c>
      <c r="B2094" s="63" t="s">
        <v>3280</v>
      </c>
      <c r="C2094" s="61"/>
      <c r="D2094" s="61"/>
    </row>
    <row r="2095" spans="1:4" ht="24.6" customHeight="1" thickBot="1" x14ac:dyDescent="0.25">
      <c r="A2095" s="62" t="s">
        <v>3281</v>
      </c>
      <c r="B2095" s="63" t="s">
        <v>2173</v>
      </c>
      <c r="C2095" s="61"/>
      <c r="D2095" s="61"/>
    </row>
    <row r="2096" spans="1:4" ht="24.6" customHeight="1" thickBot="1" x14ac:dyDescent="0.25">
      <c r="A2096" s="62" t="s">
        <v>3282</v>
      </c>
      <c r="B2096" s="63" t="s">
        <v>2175</v>
      </c>
      <c r="C2096" s="61"/>
      <c r="D2096" s="61"/>
    </row>
    <row r="2097" spans="1:4" ht="24.6" customHeight="1" thickBot="1" x14ac:dyDescent="0.25">
      <c r="A2097" s="914" t="s">
        <v>3283</v>
      </c>
      <c r="B2097" s="915"/>
      <c r="C2097" s="61"/>
      <c r="D2097" s="61"/>
    </row>
    <row r="2098" spans="1:4" ht="24.6" customHeight="1" thickBot="1" x14ac:dyDescent="0.25">
      <c r="A2098" s="914" t="s">
        <v>3284</v>
      </c>
      <c r="B2098" s="915"/>
      <c r="C2098" s="61"/>
      <c r="D2098" s="61"/>
    </row>
    <row r="2099" spans="1:4" ht="24.6" customHeight="1" thickBot="1" x14ac:dyDescent="0.25">
      <c r="A2099" s="911" t="s">
        <v>415</v>
      </c>
      <c r="B2099" s="912"/>
      <c r="C2099" s="61"/>
      <c r="D2099" s="61"/>
    </row>
    <row r="2100" spans="1:4" ht="24.6" customHeight="1" thickBot="1" x14ac:dyDescent="0.25">
      <c r="A2100" s="911" t="s">
        <v>140</v>
      </c>
      <c r="B2100" s="912"/>
      <c r="C2100" s="61"/>
      <c r="D2100" s="61"/>
    </row>
    <row r="2101" spans="1:4" ht="24.6" customHeight="1" thickBot="1" x14ac:dyDescent="0.25">
      <c r="A2101" s="62" t="s">
        <v>3285</v>
      </c>
      <c r="B2101" s="63" t="s">
        <v>3286</v>
      </c>
      <c r="C2101" s="61"/>
      <c r="D2101" s="61"/>
    </row>
    <row r="2102" spans="1:4" ht="24.6" customHeight="1" thickBot="1" x14ac:dyDescent="0.25">
      <c r="A2102" s="62" t="s">
        <v>3287</v>
      </c>
      <c r="B2102" s="63" t="s">
        <v>1081</v>
      </c>
      <c r="C2102" s="61"/>
      <c r="D2102" s="61"/>
    </row>
    <row r="2103" spans="1:4" ht="24.6" customHeight="1" thickBot="1" x14ac:dyDescent="0.25">
      <c r="A2103" s="911" t="s">
        <v>3288</v>
      </c>
      <c r="B2103" s="912"/>
      <c r="C2103" s="61"/>
      <c r="D2103" s="61"/>
    </row>
    <row r="2104" spans="1:4" ht="24.6" customHeight="1" thickBot="1" x14ac:dyDescent="0.25">
      <c r="A2104" s="62" t="s">
        <v>3289</v>
      </c>
      <c r="B2104" s="63" t="s">
        <v>3290</v>
      </c>
      <c r="C2104" s="61"/>
      <c r="D2104" s="61"/>
    </row>
    <row r="2105" spans="1:4" ht="24.6" customHeight="1" thickBot="1" x14ac:dyDescent="0.25">
      <c r="A2105" s="62" t="s">
        <v>3291</v>
      </c>
      <c r="B2105" s="63" t="s">
        <v>3292</v>
      </c>
      <c r="C2105" s="61"/>
      <c r="D2105" s="61"/>
    </row>
    <row r="2106" spans="1:4" ht="24.6" customHeight="1" thickBot="1" x14ac:dyDescent="0.25">
      <c r="A2106" s="62" t="s">
        <v>3293</v>
      </c>
      <c r="B2106" s="63" t="s">
        <v>3294</v>
      </c>
      <c r="C2106" s="61"/>
      <c r="D2106" s="61"/>
    </row>
    <row r="2107" spans="1:4" ht="24.6" customHeight="1" thickBot="1" x14ac:dyDescent="0.25">
      <c r="A2107" s="62" t="s">
        <v>3295</v>
      </c>
      <c r="B2107" s="63" t="s">
        <v>3296</v>
      </c>
      <c r="C2107" s="61"/>
      <c r="D2107" s="61"/>
    </row>
    <row r="2108" spans="1:4" ht="24.6" customHeight="1" thickBot="1" x14ac:dyDescent="0.25">
      <c r="A2108" s="62" t="s">
        <v>3297</v>
      </c>
      <c r="B2108" s="63" t="s">
        <v>3298</v>
      </c>
      <c r="C2108" s="61"/>
      <c r="D2108" s="61"/>
    </row>
    <row r="2109" spans="1:4" ht="24.6" customHeight="1" thickBot="1" x14ac:dyDescent="0.25">
      <c r="A2109" s="62" t="s">
        <v>3299</v>
      </c>
      <c r="B2109" s="63" t="s">
        <v>3300</v>
      </c>
      <c r="C2109" s="61"/>
      <c r="D2109" s="61"/>
    </row>
    <row r="2110" spans="1:4" ht="24.6" customHeight="1" thickBot="1" x14ac:dyDescent="0.25">
      <c r="A2110" s="62" t="s">
        <v>3301</v>
      </c>
      <c r="B2110" s="63" t="s">
        <v>3302</v>
      </c>
      <c r="C2110" s="61"/>
      <c r="D2110" s="61"/>
    </row>
    <row r="2111" spans="1:4" ht="24.6" customHeight="1" thickBot="1" x14ac:dyDescent="0.25">
      <c r="A2111" s="62" t="s">
        <v>3303</v>
      </c>
      <c r="B2111" s="63" t="s">
        <v>3304</v>
      </c>
      <c r="C2111" s="61"/>
      <c r="D2111" s="61"/>
    </row>
    <row r="2112" spans="1:4" ht="24.6" customHeight="1" thickBot="1" x14ac:dyDescent="0.25">
      <c r="A2112" s="62" t="s">
        <v>3305</v>
      </c>
      <c r="B2112" s="63" t="s">
        <v>156</v>
      </c>
      <c r="C2112" s="61"/>
      <c r="D2112" s="61"/>
    </row>
    <row r="2113" spans="1:4" ht="24.6" customHeight="1" thickBot="1" x14ac:dyDescent="0.25">
      <c r="A2113" s="62" t="s">
        <v>3306</v>
      </c>
      <c r="B2113" s="63" t="s">
        <v>189</v>
      </c>
      <c r="C2113" s="61"/>
      <c r="D2113" s="61"/>
    </row>
    <row r="2114" spans="1:4" ht="24.6" customHeight="1" thickBot="1" x14ac:dyDescent="0.25">
      <c r="A2114" s="914" t="s">
        <v>3307</v>
      </c>
      <c r="B2114" s="915"/>
      <c r="C2114" s="61"/>
      <c r="D2114" s="61"/>
    </row>
    <row r="2115" spans="1:4" ht="24.6" customHeight="1" thickBot="1" x14ac:dyDescent="0.25">
      <c r="A2115" s="911" t="s">
        <v>415</v>
      </c>
      <c r="B2115" s="912"/>
      <c r="C2115" s="61"/>
      <c r="D2115" s="61"/>
    </row>
    <row r="2116" spans="1:4" ht="24.6" customHeight="1" thickBot="1" x14ac:dyDescent="0.25">
      <c r="A2116" s="62" t="s">
        <v>3308</v>
      </c>
      <c r="B2116" s="63" t="s">
        <v>3309</v>
      </c>
      <c r="C2116" s="61"/>
      <c r="D2116" s="61"/>
    </row>
    <row r="2117" spans="1:4" ht="24.6" customHeight="1" thickBot="1" x14ac:dyDescent="0.25">
      <c r="A2117" s="62" t="s">
        <v>3310</v>
      </c>
      <c r="B2117" s="63" t="s">
        <v>3311</v>
      </c>
      <c r="C2117" s="61"/>
      <c r="D2117" s="61"/>
    </row>
    <row r="2118" spans="1:4" ht="24.6" customHeight="1" thickBot="1" x14ac:dyDescent="0.25">
      <c r="A2118" s="62" t="s">
        <v>3312</v>
      </c>
      <c r="B2118" s="63" t="s">
        <v>3313</v>
      </c>
      <c r="C2118" s="61"/>
      <c r="D2118" s="61"/>
    </row>
    <row r="2119" spans="1:4" ht="24.6" customHeight="1" thickBot="1" x14ac:dyDescent="0.25">
      <c r="A2119" s="62" t="s">
        <v>3314</v>
      </c>
      <c r="B2119" s="63" t="s">
        <v>3315</v>
      </c>
      <c r="C2119" s="61"/>
      <c r="D2119" s="61"/>
    </row>
    <row r="2120" spans="1:4" ht="24.6" customHeight="1" thickBot="1" x14ac:dyDescent="0.25">
      <c r="A2120" s="62" t="s">
        <v>3316</v>
      </c>
      <c r="B2120" s="63" t="s">
        <v>3317</v>
      </c>
      <c r="C2120" s="61"/>
      <c r="D2120" s="61"/>
    </row>
    <row r="2121" spans="1:4" ht="24.6" customHeight="1" thickBot="1" x14ac:dyDescent="0.25">
      <c r="A2121" s="62" t="s">
        <v>3318</v>
      </c>
      <c r="B2121" s="63" t="s">
        <v>3319</v>
      </c>
      <c r="C2121" s="61"/>
      <c r="D2121" s="61"/>
    </row>
    <row r="2122" spans="1:4" ht="24.6" customHeight="1" thickBot="1" x14ac:dyDescent="0.25">
      <c r="A2122" s="62" t="s">
        <v>3320</v>
      </c>
      <c r="B2122" s="63" t="s">
        <v>3296</v>
      </c>
      <c r="C2122" s="61"/>
      <c r="D2122" s="61"/>
    </row>
    <row r="2123" spans="1:4" ht="24.6" customHeight="1" thickBot="1" x14ac:dyDescent="0.25">
      <c r="A2123" s="62" t="s">
        <v>3321</v>
      </c>
      <c r="B2123" s="63" t="s">
        <v>3322</v>
      </c>
      <c r="C2123" s="61"/>
      <c r="D2123" s="61"/>
    </row>
    <row r="2124" spans="1:4" ht="24.6" customHeight="1" thickBot="1" x14ac:dyDescent="0.25">
      <c r="A2124" s="62" t="s">
        <v>3323</v>
      </c>
      <c r="B2124" s="63" t="s">
        <v>3324</v>
      </c>
      <c r="C2124" s="61"/>
      <c r="D2124" s="61"/>
    </row>
    <row r="2125" spans="1:4" ht="24.6" customHeight="1" thickBot="1" x14ac:dyDescent="0.25">
      <c r="A2125" s="62" t="s">
        <v>3325</v>
      </c>
      <c r="B2125" s="63" t="s">
        <v>3292</v>
      </c>
      <c r="C2125" s="61"/>
      <c r="D2125" s="61"/>
    </row>
    <row r="2126" spans="1:4" ht="24.6" customHeight="1" thickBot="1" x14ac:dyDescent="0.25">
      <c r="A2126" s="914" t="s">
        <v>3326</v>
      </c>
      <c r="B2126" s="915"/>
      <c r="C2126" s="61"/>
      <c r="D2126" s="61"/>
    </row>
    <row r="2127" spans="1:4" ht="24.6" customHeight="1" thickBot="1" x14ac:dyDescent="0.25">
      <c r="A2127" s="911" t="s">
        <v>415</v>
      </c>
      <c r="B2127" s="912"/>
      <c r="C2127" s="61"/>
      <c r="D2127" s="61"/>
    </row>
    <row r="2128" spans="1:4" ht="24.6" customHeight="1" thickBot="1" x14ac:dyDescent="0.25">
      <c r="A2128" s="62" t="s">
        <v>3327</v>
      </c>
      <c r="B2128" s="63" t="s">
        <v>3292</v>
      </c>
      <c r="C2128" s="61"/>
      <c r="D2128" s="61"/>
    </row>
    <row r="2129" spans="1:4" ht="24.6" customHeight="1" thickBot="1" x14ac:dyDescent="0.25">
      <c r="A2129" s="62" t="s">
        <v>3328</v>
      </c>
      <c r="B2129" s="63" t="s">
        <v>3329</v>
      </c>
      <c r="C2129" s="61"/>
      <c r="D2129" s="61"/>
    </row>
    <row r="2130" spans="1:4" ht="24.6" customHeight="1" thickBot="1" x14ac:dyDescent="0.25">
      <c r="A2130" s="62" t="s">
        <v>3330</v>
      </c>
      <c r="B2130" s="63" t="s">
        <v>3331</v>
      </c>
      <c r="C2130" s="61"/>
      <c r="D2130" s="61"/>
    </row>
    <row r="2131" spans="1:4" ht="24.6" customHeight="1" thickBot="1" x14ac:dyDescent="0.25">
      <c r="A2131" s="62" t="s">
        <v>3332</v>
      </c>
      <c r="B2131" s="63" t="s">
        <v>3333</v>
      </c>
      <c r="C2131" s="61"/>
      <c r="D2131" s="61"/>
    </row>
    <row r="2132" spans="1:4" ht="24.6" customHeight="1" thickBot="1" x14ac:dyDescent="0.25">
      <c r="A2132" s="62" t="s">
        <v>3334</v>
      </c>
      <c r="B2132" s="63" t="s">
        <v>3335</v>
      </c>
      <c r="C2132" s="61"/>
      <c r="D2132" s="61"/>
    </row>
    <row r="2133" spans="1:4" ht="24.6" customHeight="1" thickBot="1" x14ac:dyDescent="0.25">
      <c r="A2133" s="62" t="s">
        <v>3336</v>
      </c>
      <c r="B2133" s="63" t="s">
        <v>3337</v>
      </c>
      <c r="C2133" s="61"/>
      <c r="D2133" s="61"/>
    </row>
    <row r="2134" spans="1:4" ht="24.6" customHeight="1" thickBot="1" x14ac:dyDescent="0.25">
      <c r="A2134" s="62" t="s">
        <v>3338</v>
      </c>
      <c r="B2134" s="63" t="s">
        <v>3339</v>
      </c>
      <c r="C2134" s="61"/>
      <c r="D2134" s="61"/>
    </row>
    <row r="2135" spans="1:4" ht="24.6" customHeight="1" thickBot="1" x14ac:dyDescent="0.25">
      <c r="A2135" s="62" t="s">
        <v>3340</v>
      </c>
      <c r="B2135" s="63" t="s">
        <v>3341</v>
      </c>
      <c r="C2135" s="61"/>
      <c r="D2135" s="61"/>
    </row>
    <row r="2136" spans="1:4" ht="24.6" customHeight="1" thickBot="1" x14ac:dyDescent="0.25">
      <c r="A2136" s="62" t="s">
        <v>3342</v>
      </c>
      <c r="B2136" s="63" t="s">
        <v>3343</v>
      </c>
      <c r="C2136" s="61"/>
      <c r="D2136" s="61"/>
    </row>
    <row r="2137" spans="1:4" ht="24.6" customHeight="1" thickBot="1" x14ac:dyDescent="0.25">
      <c r="A2137" s="62" t="s">
        <v>3344</v>
      </c>
      <c r="B2137" s="63" t="s">
        <v>156</v>
      </c>
      <c r="C2137" s="61"/>
      <c r="D2137" s="61"/>
    </row>
    <row r="2138" spans="1:4" ht="24.6" customHeight="1" thickBot="1" x14ac:dyDescent="0.25">
      <c r="A2138" s="918" t="s">
        <v>3345</v>
      </c>
      <c r="B2138" s="919"/>
      <c r="C2138" s="61"/>
      <c r="D2138" s="61"/>
    </row>
    <row r="2139" spans="1:4" ht="24.6" customHeight="1" x14ac:dyDescent="0.25">
      <c r="A2139" s="920" t="s">
        <v>3346</v>
      </c>
      <c r="B2139" s="921"/>
      <c r="C2139" s="61"/>
      <c r="D2139" s="67"/>
    </row>
    <row r="2140" spans="1:4" ht="24.6" customHeight="1" thickBot="1" x14ac:dyDescent="0.25">
      <c r="A2140" s="916" t="s">
        <v>415</v>
      </c>
      <c r="B2140" s="917"/>
      <c r="C2140" s="61"/>
      <c r="D2140" s="61"/>
    </row>
    <row r="2141" spans="1:4" ht="24.6" customHeight="1" thickBot="1" x14ac:dyDescent="0.25">
      <c r="A2141" s="911" t="s">
        <v>3347</v>
      </c>
      <c r="B2141" s="912"/>
      <c r="C2141" s="61"/>
      <c r="D2141" s="61"/>
    </row>
    <row r="2142" spans="1:4" ht="24.6" customHeight="1" thickBot="1" x14ac:dyDescent="0.25">
      <c r="A2142" s="62" t="s">
        <v>3348</v>
      </c>
      <c r="B2142" s="63" t="s">
        <v>3349</v>
      </c>
      <c r="C2142" s="61"/>
      <c r="D2142" s="61"/>
    </row>
    <row r="2143" spans="1:4" ht="24.6" customHeight="1" thickBot="1" x14ac:dyDescent="0.25">
      <c r="A2143" s="62" t="s">
        <v>3350</v>
      </c>
      <c r="B2143" s="63" t="s">
        <v>3351</v>
      </c>
      <c r="C2143" s="61"/>
      <c r="D2143" s="61"/>
    </row>
    <row r="2144" spans="1:4" ht="24.6" customHeight="1" thickBot="1" x14ac:dyDescent="0.25">
      <c r="A2144" s="62" t="s">
        <v>3352</v>
      </c>
      <c r="B2144" s="63" t="s">
        <v>3353</v>
      </c>
      <c r="C2144" s="61"/>
      <c r="D2144" s="61"/>
    </row>
    <row r="2145" spans="1:4" ht="24.6" customHeight="1" thickBot="1" x14ac:dyDescent="0.25">
      <c r="A2145" s="62" t="s">
        <v>3354</v>
      </c>
      <c r="B2145" s="63" t="s">
        <v>3355</v>
      </c>
      <c r="C2145" s="61"/>
      <c r="D2145" s="61"/>
    </row>
    <row r="2146" spans="1:4" ht="24.6" customHeight="1" thickBot="1" x14ac:dyDescent="0.25">
      <c r="A2146" s="62" t="s">
        <v>3356</v>
      </c>
      <c r="B2146" s="63" t="s">
        <v>3357</v>
      </c>
      <c r="C2146" s="61"/>
      <c r="D2146" s="61"/>
    </row>
    <row r="2147" spans="1:4" ht="24.6" customHeight="1" thickBot="1" x14ac:dyDescent="0.25">
      <c r="A2147" s="62" t="s">
        <v>3358</v>
      </c>
      <c r="B2147" s="63" t="s">
        <v>3359</v>
      </c>
      <c r="C2147" s="61"/>
      <c r="D2147" s="61"/>
    </row>
    <row r="2148" spans="1:4" ht="24.6" customHeight="1" thickBot="1" x14ac:dyDescent="0.25">
      <c r="A2148" s="62" t="s">
        <v>3360</v>
      </c>
      <c r="B2148" s="63" t="s">
        <v>3361</v>
      </c>
      <c r="C2148" s="61"/>
      <c r="D2148" s="61"/>
    </row>
    <row r="2149" spans="1:4" ht="24.6" customHeight="1" thickBot="1" x14ac:dyDescent="0.25">
      <c r="A2149" s="62" t="s">
        <v>3362</v>
      </c>
      <c r="B2149" s="63" t="s">
        <v>3363</v>
      </c>
      <c r="C2149" s="61"/>
      <c r="D2149" s="61"/>
    </row>
    <row r="2150" spans="1:4" ht="24.6" customHeight="1" thickBot="1" x14ac:dyDescent="0.25">
      <c r="A2150" s="62" t="s">
        <v>3364</v>
      </c>
      <c r="B2150" s="63" t="s">
        <v>3365</v>
      </c>
      <c r="C2150" s="61"/>
      <c r="D2150" s="61"/>
    </row>
    <row r="2151" spans="1:4" ht="24.6" customHeight="1" thickBot="1" x14ac:dyDescent="0.25">
      <c r="A2151" s="62" t="s">
        <v>3366</v>
      </c>
      <c r="B2151" s="63" t="s">
        <v>3367</v>
      </c>
      <c r="C2151" s="61"/>
      <c r="D2151" s="61"/>
    </row>
    <row r="2152" spans="1:4" ht="24.6" customHeight="1" thickBot="1" x14ac:dyDescent="0.25">
      <c r="A2152" s="911" t="s">
        <v>140</v>
      </c>
      <c r="B2152" s="912"/>
      <c r="C2152" s="61"/>
      <c r="D2152" s="61"/>
    </row>
    <row r="2153" spans="1:4" ht="24.6" customHeight="1" thickBot="1" x14ac:dyDescent="0.25">
      <c r="A2153" s="62" t="s">
        <v>3368</v>
      </c>
      <c r="B2153" s="63" t="s">
        <v>3369</v>
      </c>
      <c r="C2153" s="61"/>
      <c r="D2153" s="61"/>
    </row>
    <row r="2154" spans="1:4" ht="24.6" customHeight="1" thickBot="1" x14ac:dyDescent="0.25">
      <c r="A2154" s="62" t="s">
        <v>3370</v>
      </c>
      <c r="B2154" s="63" t="s">
        <v>3371</v>
      </c>
      <c r="C2154" s="61"/>
      <c r="D2154" s="61"/>
    </row>
    <row r="2155" spans="1:4" ht="24.6" customHeight="1" thickBot="1" x14ac:dyDescent="0.25">
      <c r="A2155" s="911" t="s">
        <v>3372</v>
      </c>
      <c r="B2155" s="912"/>
      <c r="C2155" s="61"/>
      <c r="D2155" s="61"/>
    </row>
    <row r="2156" spans="1:4" ht="24.6" customHeight="1" thickBot="1" x14ac:dyDescent="0.25">
      <c r="A2156" s="62" t="s">
        <v>3373</v>
      </c>
      <c r="B2156" s="63" t="s">
        <v>3374</v>
      </c>
      <c r="C2156" s="61"/>
      <c r="D2156" s="61"/>
    </row>
    <row r="2157" spans="1:4" ht="24.6" customHeight="1" thickBot="1" x14ac:dyDescent="0.25">
      <c r="A2157" s="62" t="s">
        <v>3375</v>
      </c>
      <c r="B2157" s="63" t="s">
        <v>3376</v>
      </c>
      <c r="C2157" s="61"/>
      <c r="D2157" s="61"/>
    </row>
    <row r="2158" spans="1:4" ht="24.6" customHeight="1" thickBot="1" x14ac:dyDescent="0.25">
      <c r="A2158" s="62" t="s">
        <v>3377</v>
      </c>
      <c r="B2158" s="63" t="s">
        <v>3378</v>
      </c>
      <c r="C2158" s="61"/>
      <c r="D2158" s="61"/>
    </row>
    <row r="2159" spans="1:4" ht="24.6" customHeight="1" thickBot="1" x14ac:dyDescent="0.25">
      <c r="A2159" s="62" t="s">
        <v>3379</v>
      </c>
      <c r="B2159" s="63" t="s">
        <v>3380</v>
      </c>
      <c r="C2159" s="61"/>
      <c r="D2159" s="61"/>
    </row>
    <row r="2160" spans="1:4" ht="24.6" customHeight="1" thickBot="1" x14ac:dyDescent="0.25">
      <c r="A2160" s="62" t="s">
        <v>3381</v>
      </c>
      <c r="B2160" s="63" t="s">
        <v>3382</v>
      </c>
      <c r="C2160" s="61"/>
      <c r="D2160" s="61"/>
    </row>
    <row r="2161" spans="1:4" ht="24.6" customHeight="1" thickBot="1" x14ac:dyDescent="0.25">
      <c r="A2161" s="911" t="s">
        <v>3383</v>
      </c>
      <c r="B2161" s="912"/>
      <c r="C2161" s="61"/>
      <c r="D2161" s="61"/>
    </row>
    <row r="2162" spans="1:4" ht="24.6" customHeight="1" thickBot="1" x14ac:dyDescent="0.25">
      <c r="A2162" s="62" t="s">
        <v>3384</v>
      </c>
      <c r="B2162" s="63" t="s">
        <v>3385</v>
      </c>
      <c r="C2162" s="61"/>
      <c r="D2162" s="61"/>
    </row>
    <row r="2163" spans="1:4" ht="24.6" customHeight="1" thickBot="1" x14ac:dyDescent="0.25">
      <c r="A2163" s="62" t="s">
        <v>3386</v>
      </c>
      <c r="B2163" s="63" t="s">
        <v>3387</v>
      </c>
      <c r="C2163" s="61"/>
      <c r="D2163" s="61"/>
    </row>
    <row r="2164" spans="1:4" ht="24.6" customHeight="1" thickBot="1" x14ac:dyDescent="0.25">
      <c r="A2164" s="62" t="s">
        <v>3388</v>
      </c>
      <c r="B2164" s="63" t="s">
        <v>3389</v>
      </c>
      <c r="C2164" s="61"/>
      <c r="D2164" s="61"/>
    </row>
    <row r="2165" spans="1:4" ht="24.6" customHeight="1" thickBot="1" x14ac:dyDescent="0.25">
      <c r="A2165" s="62" t="s">
        <v>3390</v>
      </c>
      <c r="B2165" s="63" t="s">
        <v>3391</v>
      </c>
      <c r="C2165" s="61"/>
      <c r="D2165" s="61"/>
    </row>
    <row r="2166" spans="1:4" ht="24.6" customHeight="1" thickBot="1" x14ac:dyDescent="0.25">
      <c r="A2166" s="914" t="s">
        <v>3392</v>
      </c>
      <c r="B2166" s="915"/>
      <c r="C2166" s="61"/>
      <c r="D2166" s="61"/>
    </row>
    <row r="2167" spans="1:4" ht="24.6" customHeight="1" thickBot="1" x14ac:dyDescent="0.25">
      <c r="A2167" s="911" t="s">
        <v>415</v>
      </c>
      <c r="B2167" s="912"/>
      <c r="C2167" s="61"/>
      <c r="D2167" s="61"/>
    </row>
    <row r="2168" spans="1:4" ht="24.6" customHeight="1" thickBot="1" x14ac:dyDescent="0.25">
      <c r="A2168" s="911" t="s">
        <v>3347</v>
      </c>
      <c r="B2168" s="912"/>
      <c r="C2168" s="61"/>
      <c r="D2168" s="61"/>
    </row>
    <row r="2169" spans="1:4" ht="24.6" customHeight="1" thickBot="1" x14ac:dyDescent="0.25">
      <c r="A2169" s="62" t="s">
        <v>3393</v>
      </c>
      <c r="B2169" s="63" t="s">
        <v>3394</v>
      </c>
      <c r="C2169" s="61"/>
      <c r="D2169" s="61"/>
    </row>
    <row r="2170" spans="1:4" ht="24.6" customHeight="1" thickBot="1" x14ac:dyDescent="0.25">
      <c r="A2170" s="62" t="s">
        <v>3395</v>
      </c>
      <c r="B2170" s="63" t="s">
        <v>3396</v>
      </c>
      <c r="C2170" s="61"/>
      <c r="D2170" s="61"/>
    </row>
    <row r="2171" spans="1:4" ht="24.6" customHeight="1" thickBot="1" x14ac:dyDescent="0.25">
      <c r="A2171" s="62" t="s">
        <v>3397</v>
      </c>
      <c r="B2171" s="63" t="s">
        <v>3398</v>
      </c>
      <c r="C2171" s="61"/>
      <c r="D2171" s="61"/>
    </row>
    <row r="2172" spans="1:4" ht="24.6" customHeight="1" thickBot="1" x14ac:dyDescent="0.25">
      <c r="A2172" s="62" t="s">
        <v>3399</v>
      </c>
      <c r="B2172" s="63" t="s">
        <v>3400</v>
      </c>
      <c r="C2172" s="61"/>
      <c r="D2172" s="61"/>
    </row>
    <row r="2173" spans="1:4" ht="24.6" customHeight="1" thickBot="1" x14ac:dyDescent="0.25">
      <c r="A2173" s="911" t="s">
        <v>3401</v>
      </c>
      <c r="B2173" s="912"/>
      <c r="C2173" s="61"/>
      <c r="D2173" s="61"/>
    </row>
    <row r="2174" spans="1:4" ht="24.6" customHeight="1" thickBot="1" x14ac:dyDescent="0.25">
      <c r="A2174" s="62" t="s">
        <v>3402</v>
      </c>
      <c r="B2174" s="63" t="s">
        <v>3403</v>
      </c>
      <c r="C2174" s="61"/>
      <c r="D2174" s="61"/>
    </row>
    <row r="2175" spans="1:4" ht="24.6" customHeight="1" thickBot="1" x14ac:dyDescent="0.25">
      <c r="A2175" s="62" t="s">
        <v>3404</v>
      </c>
      <c r="B2175" s="63" t="s">
        <v>3405</v>
      </c>
      <c r="C2175" s="61"/>
      <c r="D2175" s="61"/>
    </row>
    <row r="2176" spans="1:4" ht="24.6" customHeight="1" thickBot="1" x14ac:dyDescent="0.25">
      <c r="A2176" s="62" t="s">
        <v>3406</v>
      </c>
      <c r="B2176" s="63" t="s">
        <v>3407</v>
      </c>
      <c r="C2176" s="61"/>
      <c r="D2176" s="61"/>
    </row>
    <row r="2177" spans="1:4" ht="24.6" customHeight="1" thickBot="1" x14ac:dyDescent="0.25">
      <c r="A2177" s="62" t="s">
        <v>3408</v>
      </c>
      <c r="B2177" s="63" t="s">
        <v>3409</v>
      </c>
      <c r="C2177" s="61"/>
      <c r="D2177" s="61"/>
    </row>
    <row r="2178" spans="1:4" ht="24.6" customHeight="1" thickBot="1" x14ac:dyDescent="0.25">
      <c r="A2178" s="62" t="s">
        <v>3410</v>
      </c>
      <c r="B2178" s="63" t="s">
        <v>3411</v>
      </c>
      <c r="C2178" s="61"/>
      <c r="D2178" s="61"/>
    </row>
    <row r="2179" spans="1:4" ht="24.6" customHeight="1" thickBot="1" x14ac:dyDescent="0.25">
      <c r="A2179" s="62" t="s">
        <v>3412</v>
      </c>
      <c r="B2179" s="63" t="s">
        <v>3413</v>
      </c>
      <c r="C2179" s="61"/>
      <c r="D2179" s="61"/>
    </row>
    <row r="2180" spans="1:4" ht="24.6" customHeight="1" thickBot="1" x14ac:dyDescent="0.25">
      <c r="A2180" s="62" t="s">
        <v>3414</v>
      </c>
      <c r="B2180" s="63" t="s">
        <v>3415</v>
      </c>
      <c r="C2180" s="61"/>
      <c r="D2180" s="61"/>
    </row>
    <row r="2181" spans="1:4" ht="24.6" customHeight="1" thickBot="1" x14ac:dyDescent="0.25">
      <c r="A2181" s="62" t="s">
        <v>3416</v>
      </c>
      <c r="B2181" s="63" t="s">
        <v>3417</v>
      </c>
      <c r="C2181" s="61"/>
      <c r="D2181" s="61"/>
    </row>
    <row r="2182" spans="1:4" ht="24.6" customHeight="1" thickBot="1" x14ac:dyDescent="0.25">
      <c r="A2182" s="62" t="s">
        <v>3418</v>
      </c>
      <c r="B2182" s="63" t="s">
        <v>3394</v>
      </c>
      <c r="C2182" s="61"/>
      <c r="D2182" s="61"/>
    </row>
    <row r="2183" spans="1:4" ht="24.6" customHeight="1" thickBot="1" x14ac:dyDescent="0.25">
      <c r="A2183" s="62" t="s">
        <v>3419</v>
      </c>
      <c r="B2183" s="63" t="s">
        <v>3420</v>
      </c>
      <c r="C2183" s="61"/>
      <c r="D2183" s="61"/>
    </row>
    <row r="2184" spans="1:4" ht="24.6" customHeight="1" thickBot="1" x14ac:dyDescent="0.25">
      <c r="A2184" s="62" t="s">
        <v>3421</v>
      </c>
      <c r="B2184" s="63" t="s">
        <v>3422</v>
      </c>
      <c r="C2184" s="61"/>
      <c r="D2184" s="61"/>
    </row>
    <row r="2185" spans="1:4" ht="24.6" customHeight="1" thickBot="1" x14ac:dyDescent="0.25">
      <c r="A2185" s="62" t="s">
        <v>3423</v>
      </c>
      <c r="B2185" s="63" t="s">
        <v>3424</v>
      </c>
      <c r="C2185" s="61"/>
      <c r="D2185" s="61"/>
    </row>
    <row r="2186" spans="1:4" ht="24.6" customHeight="1" thickBot="1" x14ac:dyDescent="0.25">
      <c r="A2186" s="911" t="s">
        <v>3425</v>
      </c>
      <c r="B2186" s="912"/>
      <c r="C2186" s="61"/>
      <c r="D2186" s="61"/>
    </row>
    <row r="2187" spans="1:4" ht="24.6" customHeight="1" thickBot="1" x14ac:dyDescent="0.25">
      <c r="A2187" s="62" t="s">
        <v>3426</v>
      </c>
      <c r="B2187" s="63" t="s">
        <v>3427</v>
      </c>
      <c r="C2187" s="61"/>
      <c r="D2187" s="61"/>
    </row>
    <row r="2188" spans="1:4" ht="24.6" customHeight="1" thickBot="1" x14ac:dyDescent="0.25">
      <c r="A2188" s="62" t="s">
        <v>3428</v>
      </c>
      <c r="B2188" s="63" t="s">
        <v>3429</v>
      </c>
      <c r="C2188" s="61"/>
      <c r="D2188" s="61"/>
    </row>
    <row r="2189" spans="1:4" ht="24.6" customHeight="1" thickBot="1" x14ac:dyDescent="0.25">
      <c r="A2189" s="911" t="s">
        <v>3430</v>
      </c>
      <c r="B2189" s="912"/>
      <c r="C2189" s="61"/>
      <c r="D2189" s="61"/>
    </row>
    <row r="2190" spans="1:4" ht="24.6" customHeight="1" thickBot="1" x14ac:dyDescent="0.25">
      <c r="A2190" s="62" t="s">
        <v>3431</v>
      </c>
      <c r="B2190" s="63" t="s">
        <v>3427</v>
      </c>
      <c r="C2190" s="61"/>
      <c r="D2190" s="61"/>
    </row>
    <row r="2191" spans="1:4" ht="24.6" customHeight="1" thickBot="1" x14ac:dyDescent="0.25">
      <c r="A2191" s="62" t="s">
        <v>3432</v>
      </c>
      <c r="B2191" s="63" t="s">
        <v>3394</v>
      </c>
      <c r="C2191" s="61"/>
      <c r="D2191" s="61"/>
    </row>
    <row r="2192" spans="1:4" ht="24.6" customHeight="1" thickBot="1" x14ac:dyDescent="0.25">
      <c r="A2192" s="62" t="s">
        <v>3433</v>
      </c>
      <c r="B2192" s="63" t="s">
        <v>3434</v>
      </c>
      <c r="C2192" s="61"/>
      <c r="D2192" s="61"/>
    </row>
    <row r="2193" spans="1:4" ht="24.6" customHeight="1" thickBot="1" x14ac:dyDescent="0.25">
      <c r="A2193" s="62" t="s">
        <v>3435</v>
      </c>
      <c r="B2193" s="63" t="s">
        <v>3411</v>
      </c>
      <c r="C2193" s="61"/>
      <c r="D2193" s="61"/>
    </row>
    <row r="2194" spans="1:4" ht="24.6" customHeight="1" thickBot="1" x14ac:dyDescent="0.25">
      <c r="A2194" s="62" t="s">
        <v>3436</v>
      </c>
      <c r="B2194" s="63" t="s">
        <v>3420</v>
      </c>
      <c r="C2194" s="61"/>
      <c r="D2194" s="61"/>
    </row>
    <row r="2195" spans="1:4" ht="24.6" customHeight="1" thickBot="1" x14ac:dyDescent="0.25">
      <c r="A2195" s="62" t="s">
        <v>3437</v>
      </c>
      <c r="B2195" s="63" t="s">
        <v>3417</v>
      </c>
      <c r="C2195" s="61"/>
      <c r="D2195" s="61"/>
    </row>
    <row r="2196" spans="1:4" ht="24.6" customHeight="1" thickBot="1" x14ac:dyDescent="0.25">
      <c r="A2196" s="62" t="s">
        <v>3438</v>
      </c>
      <c r="B2196" s="63" t="s">
        <v>3439</v>
      </c>
      <c r="C2196" s="61"/>
      <c r="D2196" s="61"/>
    </row>
    <row r="2197" spans="1:4" ht="24.6" customHeight="1" thickBot="1" x14ac:dyDescent="0.25">
      <c r="A2197" s="62" t="s">
        <v>3440</v>
      </c>
      <c r="B2197" s="63" t="s">
        <v>3424</v>
      </c>
      <c r="C2197" s="61"/>
      <c r="D2197" s="61"/>
    </row>
    <row r="2198" spans="1:4" ht="24.6" customHeight="1" thickBot="1" x14ac:dyDescent="0.25">
      <c r="A2198" s="62" t="s">
        <v>3441</v>
      </c>
      <c r="B2198" s="63" t="s">
        <v>3442</v>
      </c>
      <c r="C2198" s="61"/>
      <c r="D2198" s="61"/>
    </row>
    <row r="2199" spans="1:4" ht="24.6" customHeight="1" thickBot="1" x14ac:dyDescent="0.25">
      <c r="A2199" s="911" t="s">
        <v>3443</v>
      </c>
      <c r="B2199" s="912"/>
      <c r="C2199" s="61"/>
      <c r="D2199" s="61"/>
    </row>
    <row r="2200" spans="1:4" ht="24.6" customHeight="1" thickBot="1" x14ac:dyDescent="0.25">
      <c r="A2200" s="62" t="s">
        <v>3444</v>
      </c>
      <c r="B2200" s="63" t="s">
        <v>3427</v>
      </c>
      <c r="C2200" s="61"/>
      <c r="D2200" s="61"/>
    </row>
    <row r="2201" spans="1:4" ht="24.6" customHeight="1" thickBot="1" x14ac:dyDescent="0.25">
      <c r="A2201" s="62" t="s">
        <v>3445</v>
      </c>
      <c r="B2201" s="63" t="s">
        <v>3429</v>
      </c>
      <c r="C2201" s="61"/>
      <c r="D2201" s="61"/>
    </row>
    <row r="2202" spans="1:4" ht="24.6" customHeight="1" thickBot="1" x14ac:dyDescent="0.25">
      <c r="A2202" s="62" t="s">
        <v>3446</v>
      </c>
      <c r="B2202" s="63" t="s">
        <v>3394</v>
      </c>
      <c r="C2202" s="61"/>
      <c r="D2202" s="61"/>
    </row>
    <row r="2203" spans="1:4" ht="24.6" customHeight="1" thickBot="1" x14ac:dyDescent="0.25">
      <c r="A2203" s="911" t="s">
        <v>3447</v>
      </c>
      <c r="B2203" s="912"/>
      <c r="C2203" s="61"/>
      <c r="D2203" s="61"/>
    </row>
    <row r="2204" spans="1:4" ht="24.6" customHeight="1" thickBot="1" x14ac:dyDescent="0.25">
      <c r="A2204" s="62" t="s">
        <v>3448</v>
      </c>
      <c r="B2204" s="63" t="s">
        <v>3394</v>
      </c>
      <c r="C2204" s="61"/>
      <c r="D2204" s="61"/>
    </row>
    <row r="2205" spans="1:4" ht="24.6" customHeight="1" thickBot="1" x14ac:dyDescent="0.25">
      <c r="A2205" s="62" t="s">
        <v>3449</v>
      </c>
      <c r="B2205" s="63" t="s">
        <v>3450</v>
      </c>
      <c r="C2205" s="61"/>
      <c r="D2205" s="61"/>
    </row>
    <row r="2206" spans="1:4" ht="24.6" customHeight="1" thickBot="1" x14ac:dyDescent="0.25">
      <c r="A2206" s="62" t="s">
        <v>3451</v>
      </c>
      <c r="B2206" s="63" t="s">
        <v>3422</v>
      </c>
      <c r="C2206" s="61"/>
      <c r="D2206" s="61"/>
    </row>
    <row r="2207" spans="1:4" ht="24.6" customHeight="1" thickBot="1" x14ac:dyDescent="0.25">
      <c r="A2207" s="62" t="s">
        <v>3452</v>
      </c>
      <c r="B2207" s="63" t="s">
        <v>3424</v>
      </c>
      <c r="C2207" s="61"/>
      <c r="D2207" s="61"/>
    </row>
    <row r="2208" spans="1:4" ht="24.6" customHeight="1" thickBot="1" x14ac:dyDescent="0.25">
      <c r="A2208" s="911" t="s">
        <v>3372</v>
      </c>
      <c r="B2208" s="912"/>
      <c r="C2208" s="61"/>
      <c r="D2208" s="61"/>
    </row>
    <row r="2209" spans="1:4" ht="24.6" customHeight="1" thickBot="1" x14ac:dyDescent="0.25">
      <c r="A2209" s="62" t="s">
        <v>3453</v>
      </c>
      <c r="B2209" s="63" t="s">
        <v>3454</v>
      </c>
      <c r="C2209" s="61"/>
      <c r="D2209" s="61"/>
    </row>
    <row r="2210" spans="1:4" ht="24.6" customHeight="1" thickBot="1" x14ac:dyDescent="0.25">
      <c r="A2210" s="62" t="s">
        <v>3455</v>
      </c>
      <c r="B2210" s="63" t="s">
        <v>3456</v>
      </c>
      <c r="C2210" s="61"/>
      <c r="D2210" s="61"/>
    </row>
    <row r="2211" spans="1:4" ht="24.6" customHeight="1" thickBot="1" x14ac:dyDescent="0.25">
      <c r="A2211" s="62" t="s">
        <v>3457</v>
      </c>
      <c r="B2211" s="63" t="s">
        <v>3407</v>
      </c>
      <c r="C2211" s="61"/>
      <c r="D2211" s="61"/>
    </row>
    <row r="2212" spans="1:4" ht="24.6" customHeight="1" thickBot="1" x14ac:dyDescent="0.25">
      <c r="A2212" s="62" t="s">
        <v>3458</v>
      </c>
      <c r="B2212" s="63" t="s">
        <v>3459</v>
      </c>
      <c r="C2212" s="61"/>
      <c r="D2212" s="61"/>
    </row>
    <row r="2213" spans="1:4" ht="24.6" customHeight="1" thickBot="1" x14ac:dyDescent="0.25">
      <c r="A2213" s="62" t="s">
        <v>3460</v>
      </c>
      <c r="B2213" s="63" t="s">
        <v>3461</v>
      </c>
      <c r="C2213" s="61"/>
      <c r="D2213" s="61"/>
    </row>
    <row r="2214" spans="1:4" ht="24.6" customHeight="1" thickBot="1" x14ac:dyDescent="0.25">
      <c r="A2214" s="62" t="s">
        <v>3462</v>
      </c>
      <c r="B2214" s="63" t="s">
        <v>3424</v>
      </c>
      <c r="C2214" s="61"/>
      <c r="D2214" s="61"/>
    </row>
    <row r="2215" spans="1:4" ht="24.6" customHeight="1" thickBot="1" x14ac:dyDescent="0.25">
      <c r="A2215" s="911" t="s">
        <v>1091</v>
      </c>
      <c r="B2215" s="912"/>
      <c r="C2215" s="61"/>
      <c r="D2215" s="61"/>
    </row>
    <row r="2216" spans="1:4" ht="24.6" customHeight="1" thickBot="1" x14ac:dyDescent="0.25">
      <c r="A2216" s="62" t="s">
        <v>3463</v>
      </c>
      <c r="B2216" s="63" t="s">
        <v>3464</v>
      </c>
      <c r="C2216" s="61"/>
      <c r="D2216" s="61"/>
    </row>
    <row r="2217" spans="1:4" ht="24.6" customHeight="1" thickBot="1" x14ac:dyDescent="0.25">
      <c r="A2217" s="62" t="s">
        <v>3465</v>
      </c>
      <c r="B2217" s="63" t="s">
        <v>3466</v>
      </c>
      <c r="C2217" s="61"/>
      <c r="D2217" s="61"/>
    </row>
    <row r="2218" spans="1:4" ht="24.6" customHeight="1" thickBot="1" x14ac:dyDescent="0.25">
      <c r="A2218" s="62" t="s">
        <v>3467</v>
      </c>
      <c r="B2218" s="63" t="s">
        <v>3468</v>
      </c>
      <c r="C2218" s="61"/>
      <c r="D2218" s="61"/>
    </row>
    <row r="2219" spans="1:4" ht="24.6" customHeight="1" thickBot="1" x14ac:dyDescent="0.25">
      <c r="A2219" s="62" t="s">
        <v>3469</v>
      </c>
      <c r="B2219" s="63" t="s">
        <v>3470</v>
      </c>
      <c r="C2219" s="61"/>
      <c r="D2219" s="61"/>
    </row>
    <row r="2220" spans="1:4" ht="24.6" customHeight="1" thickBot="1" x14ac:dyDescent="0.25">
      <c r="A2220" s="62" t="s">
        <v>3471</v>
      </c>
      <c r="B2220" s="63" t="s">
        <v>3472</v>
      </c>
      <c r="C2220" s="61"/>
      <c r="D2220" s="61"/>
    </row>
    <row r="2221" spans="1:4" ht="24.6" customHeight="1" thickBot="1" x14ac:dyDescent="0.25">
      <c r="A2221" s="62" t="s">
        <v>3473</v>
      </c>
      <c r="B2221" s="63" t="s">
        <v>3474</v>
      </c>
      <c r="C2221" s="61"/>
      <c r="D2221" s="61"/>
    </row>
    <row r="2222" spans="1:4" ht="24.6" customHeight="1" thickBot="1" x14ac:dyDescent="0.25">
      <c r="A2222" s="62" t="s">
        <v>3475</v>
      </c>
      <c r="B2222" s="63" t="s">
        <v>3450</v>
      </c>
      <c r="C2222" s="61"/>
      <c r="D2222" s="61"/>
    </row>
    <row r="2223" spans="1:4" ht="24.6" customHeight="1" thickBot="1" x14ac:dyDescent="0.25">
      <c r="A2223" s="62" t="s">
        <v>3476</v>
      </c>
      <c r="B2223" s="63" t="s">
        <v>347</v>
      </c>
      <c r="C2223" s="61"/>
      <c r="D2223" s="61"/>
    </row>
    <row r="2224" spans="1:4" ht="24.6" customHeight="1" thickBot="1" x14ac:dyDescent="0.25">
      <c r="A2224" s="62" t="s">
        <v>3477</v>
      </c>
      <c r="B2224" s="63" t="s">
        <v>3422</v>
      </c>
      <c r="C2224" s="61"/>
      <c r="D2224" s="61"/>
    </row>
    <row r="2225" spans="1:4" ht="24.6" customHeight="1" thickBot="1" x14ac:dyDescent="0.25">
      <c r="A2225" s="62" t="s">
        <v>3478</v>
      </c>
      <c r="B2225" s="63" t="s">
        <v>3420</v>
      </c>
      <c r="C2225" s="61"/>
      <c r="D2225" s="61"/>
    </row>
    <row r="2226" spans="1:4" ht="24.6" customHeight="1" thickBot="1" x14ac:dyDescent="0.25">
      <c r="A2226" s="62" t="s">
        <v>3479</v>
      </c>
      <c r="B2226" s="63" t="s">
        <v>3413</v>
      </c>
      <c r="C2226" s="61"/>
      <c r="D2226" s="61"/>
    </row>
    <row r="2227" spans="1:4" ht="24.6" customHeight="1" thickBot="1" x14ac:dyDescent="0.25">
      <c r="A2227" s="62" t="s">
        <v>3480</v>
      </c>
      <c r="B2227" s="63" t="s">
        <v>3411</v>
      </c>
      <c r="C2227" s="61"/>
      <c r="D2227" s="61"/>
    </row>
    <row r="2228" spans="1:4" ht="24.6" customHeight="1" thickBot="1" x14ac:dyDescent="0.25">
      <c r="A2228" s="62" t="s">
        <v>3481</v>
      </c>
      <c r="B2228" s="63" t="s">
        <v>3482</v>
      </c>
      <c r="C2228" s="61"/>
      <c r="D2228" s="61"/>
    </row>
    <row r="2229" spans="1:4" ht="24.6" customHeight="1" thickBot="1" x14ac:dyDescent="0.25">
      <c r="A2229" s="62" t="s">
        <v>3483</v>
      </c>
      <c r="B2229" s="63" t="s">
        <v>3484</v>
      </c>
      <c r="C2229" s="61"/>
      <c r="D2229" s="61"/>
    </row>
    <row r="2230" spans="1:4" ht="24.6" customHeight="1" thickBot="1" x14ac:dyDescent="0.25">
      <c r="A2230" s="62" t="s">
        <v>3485</v>
      </c>
      <c r="B2230" s="63" t="s">
        <v>3486</v>
      </c>
      <c r="C2230" s="61"/>
      <c r="D2230" s="61"/>
    </row>
    <row r="2231" spans="1:4" ht="24.6" customHeight="1" thickBot="1" x14ac:dyDescent="0.25">
      <c r="A2231" s="911" t="s">
        <v>3487</v>
      </c>
      <c r="B2231" s="912"/>
      <c r="C2231" s="61"/>
      <c r="D2231" s="61"/>
    </row>
    <row r="2232" spans="1:4" ht="24.6" customHeight="1" thickBot="1" x14ac:dyDescent="0.25">
      <c r="A2232" s="62" t="s">
        <v>3488</v>
      </c>
      <c r="B2232" s="63" t="s">
        <v>3470</v>
      </c>
      <c r="C2232" s="61"/>
      <c r="D2232" s="61"/>
    </row>
    <row r="2233" spans="1:4" ht="24.6" customHeight="1" thickBot="1" x14ac:dyDescent="0.25">
      <c r="A2233" s="62" t="s">
        <v>3489</v>
      </c>
      <c r="B2233" s="63" t="s">
        <v>3472</v>
      </c>
      <c r="C2233" s="61"/>
      <c r="D2233" s="61"/>
    </row>
    <row r="2234" spans="1:4" ht="24.6" customHeight="1" thickBot="1" x14ac:dyDescent="0.25">
      <c r="A2234" s="62" t="s">
        <v>3490</v>
      </c>
      <c r="B2234" s="63" t="s">
        <v>3474</v>
      </c>
      <c r="C2234" s="61"/>
      <c r="D2234" s="61"/>
    </row>
    <row r="2235" spans="1:4" ht="24.6" customHeight="1" thickBot="1" x14ac:dyDescent="0.25">
      <c r="A2235" s="911" t="s">
        <v>3491</v>
      </c>
      <c r="B2235" s="912"/>
      <c r="C2235" s="61"/>
      <c r="D2235" s="61"/>
    </row>
    <row r="2236" spans="1:4" ht="24.6" customHeight="1" thickBot="1" x14ac:dyDescent="0.25">
      <c r="A2236" s="62" t="s">
        <v>3492</v>
      </c>
      <c r="B2236" s="63" t="s">
        <v>3493</v>
      </c>
      <c r="C2236" s="61"/>
      <c r="D2236" s="61"/>
    </row>
    <row r="2237" spans="1:4" ht="24.6" customHeight="1" thickBot="1" x14ac:dyDescent="0.25">
      <c r="A2237" s="914" t="s">
        <v>3494</v>
      </c>
      <c r="B2237" s="915"/>
      <c r="C2237" s="61"/>
      <c r="D2237" s="61"/>
    </row>
    <row r="2238" spans="1:4" ht="24.6" customHeight="1" thickBot="1" x14ac:dyDescent="0.25">
      <c r="A2238" s="911" t="s">
        <v>415</v>
      </c>
      <c r="B2238" s="912"/>
      <c r="C2238" s="61"/>
      <c r="D2238" s="61"/>
    </row>
    <row r="2239" spans="1:4" ht="24.6" customHeight="1" thickBot="1" x14ac:dyDescent="0.25">
      <c r="A2239" s="62" t="s">
        <v>3495</v>
      </c>
      <c r="B2239" s="63" t="s">
        <v>3496</v>
      </c>
      <c r="C2239" s="61"/>
      <c r="D2239" s="61"/>
    </row>
    <row r="2240" spans="1:4" ht="24.6" customHeight="1" thickBot="1" x14ac:dyDescent="0.25">
      <c r="A2240" s="911" t="s">
        <v>3347</v>
      </c>
      <c r="B2240" s="912"/>
      <c r="C2240" s="61"/>
      <c r="D2240" s="61"/>
    </row>
    <row r="2241" spans="1:4" ht="24.6" customHeight="1" thickBot="1" x14ac:dyDescent="0.25">
      <c r="A2241" s="62" t="s">
        <v>3497</v>
      </c>
      <c r="B2241" s="63" t="s">
        <v>3498</v>
      </c>
      <c r="C2241" s="61"/>
      <c r="D2241" s="61"/>
    </row>
    <row r="2242" spans="1:4" ht="24.6" customHeight="1" thickBot="1" x14ac:dyDescent="0.25">
      <c r="A2242" s="62" t="s">
        <v>3499</v>
      </c>
      <c r="B2242" s="63" t="s">
        <v>3500</v>
      </c>
      <c r="C2242" s="61"/>
      <c r="D2242" s="61"/>
    </row>
    <row r="2243" spans="1:4" ht="24.6" customHeight="1" thickBot="1" x14ac:dyDescent="0.25">
      <c r="A2243" s="62" t="s">
        <v>3501</v>
      </c>
      <c r="B2243" s="63" t="s">
        <v>3502</v>
      </c>
      <c r="C2243" s="61"/>
      <c r="D2243" s="61"/>
    </row>
    <row r="2244" spans="1:4" ht="24.6" customHeight="1" thickBot="1" x14ac:dyDescent="0.25">
      <c r="A2244" s="62" t="s">
        <v>3503</v>
      </c>
      <c r="B2244" s="63" t="s">
        <v>3504</v>
      </c>
      <c r="C2244" s="61"/>
      <c r="D2244" s="61"/>
    </row>
    <row r="2245" spans="1:4" ht="24.6" customHeight="1" thickBot="1" x14ac:dyDescent="0.25">
      <c r="A2245" s="62" t="s">
        <v>3505</v>
      </c>
      <c r="B2245" s="63" t="s">
        <v>3506</v>
      </c>
      <c r="C2245" s="61"/>
      <c r="D2245" s="61"/>
    </row>
    <row r="2246" spans="1:4" ht="24.6" customHeight="1" thickBot="1" x14ac:dyDescent="0.25">
      <c r="A2246" s="62" t="s">
        <v>3507</v>
      </c>
      <c r="B2246" s="63" t="s">
        <v>3508</v>
      </c>
      <c r="C2246" s="61"/>
      <c r="D2246" s="61"/>
    </row>
    <row r="2247" spans="1:4" ht="24.6" customHeight="1" thickBot="1" x14ac:dyDescent="0.25">
      <c r="A2247" s="62" t="s">
        <v>3509</v>
      </c>
      <c r="B2247" s="63" t="s">
        <v>3510</v>
      </c>
      <c r="C2247" s="61"/>
      <c r="D2247" s="61"/>
    </row>
    <row r="2248" spans="1:4" ht="24.6" customHeight="1" thickBot="1" x14ac:dyDescent="0.25">
      <c r="A2248" s="911" t="s">
        <v>3511</v>
      </c>
      <c r="B2248" s="912"/>
      <c r="C2248" s="61"/>
      <c r="D2248" s="61"/>
    </row>
    <row r="2249" spans="1:4" ht="24.6" customHeight="1" thickBot="1" x14ac:dyDescent="0.25">
      <c r="A2249" s="62" t="s">
        <v>3512</v>
      </c>
      <c r="B2249" s="63" t="s">
        <v>3513</v>
      </c>
      <c r="C2249" s="61"/>
      <c r="D2249" s="61"/>
    </row>
    <row r="2250" spans="1:4" ht="24.6" customHeight="1" thickBot="1" x14ac:dyDescent="0.25">
      <c r="A2250" s="62" t="s">
        <v>3514</v>
      </c>
      <c r="B2250" s="63" t="s">
        <v>3515</v>
      </c>
      <c r="C2250" s="61"/>
      <c r="D2250" s="61"/>
    </row>
    <row r="2251" spans="1:4" ht="24.6" customHeight="1" thickBot="1" x14ac:dyDescent="0.25">
      <c r="A2251" s="62" t="s">
        <v>3516</v>
      </c>
      <c r="B2251" s="63" t="s">
        <v>3517</v>
      </c>
      <c r="C2251" s="61"/>
      <c r="D2251" s="61"/>
    </row>
    <row r="2252" spans="1:4" ht="24.6" customHeight="1" thickBot="1" x14ac:dyDescent="0.25">
      <c r="A2252" s="62" t="s">
        <v>3518</v>
      </c>
      <c r="B2252" s="63" t="s">
        <v>3519</v>
      </c>
      <c r="C2252" s="61"/>
      <c r="D2252" s="61"/>
    </row>
    <row r="2253" spans="1:4" ht="24.6" customHeight="1" thickBot="1" x14ac:dyDescent="0.25">
      <c r="A2253" s="62" t="s">
        <v>3520</v>
      </c>
      <c r="B2253" s="63" t="s">
        <v>3521</v>
      </c>
      <c r="C2253" s="61"/>
      <c r="D2253" s="61"/>
    </row>
    <row r="2254" spans="1:4" ht="24.6" customHeight="1" thickBot="1" x14ac:dyDescent="0.25">
      <c r="A2254" s="62" t="s">
        <v>3522</v>
      </c>
      <c r="B2254" s="63" t="s">
        <v>3523</v>
      </c>
      <c r="C2254" s="61"/>
      <c r="D2254" s="61"/>
    </row>
    <row r="2255" spans="1:4" ht="24.6" customHeight="1" thickBot="1" x14ac:dyDescent="0.25">
      <c r="A2255" s="62" t="s">
        <v>3524</v>
      </c>
      <c r="B2255" s="63" t="s">
        <v>3525</v>
      </c>
      <c r="C2255" s="61"/>
      <c r="D2255" s="61"/>
    </row>
    <row r="2256" spans="1:4" ht="24.6" customHeight="1" thickBot="1" x14ac:dyDescent="0.25">
      <c r="A2256" s="911" t="s">
        <v>3425</v>
      </c>
      <c r="B2256" s="912"/>
      <c r="C2256" s="61"/>
      <c r="D2256" s="61"/>
    </row>
    <row r="2257" spans="1:4" ht="24.6" customHeight="1" thickBot="1" x14ac:dyDescent="0.25">
      <c r="A2257" s="62" t="s">
        <v>3524</v>
      </c>
      <c r="B2257" s="63" t="s">
        <v>3496</v>
      </c>
      <c r="C2257" s="61"/>
      <c r="D2257" s="61"/>
    </row>
    <row r="2258" spans="1:4" ht="24.6" customHeight="1" thickBot="1" x14ac:dyDescent="0.25">
      <c r="A2258" s="911" t="s">
        <v>3430</v>
      </c>
      <c r="B2258" s="912"/>
      <c r="C2258" s="61"/>
      <c r="D2258" s="61"/>
    </row>
    <row r="2259" spans="1:4" ht="24.6" customHeight="1" thickBot="1" x14ac:dyDescent="0.25">
      <c r="A2259" s="62" t="s">
        <v>3526</v>
      </c>
      <c r="B2259" s="63" t="s">
        <v>3527</v>
      </c>
      <c r="C2259" s="61"/>
      <c r="D2259" s="61"/>
    </row>
    <row r="2260" spans="1:4" ht="24.6" customHeight="1" thickBot="1" x14ac:dyDescent="0.25">
      <c r="A2260" s="62" t="s">
        <v>3528</v>
      </c>
      <c r="B2260" s="63" t="s">
        <v>3529</v>
      </c>
      <c r="C2260" s="61"/>
      <c r="D2260" s="61"/>
    </row>
    <row r="2261" spans="1:4" ht="24.6" customHeight="1" thickBot="1" x14ac:dyDescent="0.25">
      <c r="A2261" s="62" t="s">
        <v>3530</v>
      </c>
      <c r="B2261" s="63" t="s">
        <v>3531</v>
      </c>
      <c r="C2261" s="61"/>
      <c r="D2261" s="61"/>
    </row>
    <row r="2262" spans="1:4" ht="24.6" customHeight="1" thickBot="1" x14ac:dyDescent="0.25">
      <c r="A2262" s="62" t="s">
        <v>3532</v>
      </c>
      <c r="B2262" s="63" t="s">
        <v>3533</v>
      </c>
      <c r="C2262" s="61"/>
      <c r="D2262" s="61"/>
    </row>
    <row r="2263" spans="1:4" ht="24.6" customHeight="1" thickBot="1" x14ac:dyDescent="0.25">
      <c r="A2263" s="62" t="s">
        <v>3534</v>
      </c>
      <c r="B2263" s="63" t="s">
        <v>3535</v>
      </c>
      <c r="C2263" s="61"/>
      <c r="D2263" s="61"/>
    </row>
    <row r="2264" spans="1:4" ht="24.6" customHeight="1" thickBot="1" x14ac:dyDescent="0.25">
      <c r="A2264" s="62" t="s">
        <v>3536</v>
      </c>
      <c r="B2264" s="63" t="s">
        <v>3537</v>
      </c>
      <c r="C2264" s="61"/>
      <c r="D2264" s="61"/>
    </row>
    <row r="2265" spans="1:4" ht="24.6" customHeight="1" thickBot="1" x14ac:dyDescent="0.25">
      <c r="A2265" s="62" t="s">
        <v>3538</v>
      </c>
      <c r="B2265" s="63" t="s">
        <v>3539</v>
      </c>
      <c r="C2265" s="61"/>
      <c r="D2265" s="61"/>
    </row>
    <row r="2266" spans="1:4" ht="24.6" customHeight="1" thickBot="1" x14ac:dyDescent="0.25">
      <c r="A2266" s="62" t="s">
        <v>3540</v>
      </c>
      <c r="B2266" s="63" t="s">
        <v>3541</v>
      </c>
      <c r="C2266" s="61"/>
      <c r="D2266" s="61"/>
    </row>
    <row r="2267" spans="1:4" ht="24.6" customHeight="1" thickBot="1" x14ac:dyDescent="0.25">
      <c r="A2267" s="62" t="s">
        <v>3542</v>
      </c>
      <c r="B2267" s="63" t="s">
        <v>3543</v>
      </c>
      <c r="C2267" s="61"/>
      <c r="D2267" s="61"/>
    </row>
    <row r="2268" spans="1:4" ht="24.6" customHeight="1" thickBot="1" x14ac:dyDescent="0.25">
      <c r="A2268" s="62" t="s">
        <v>3544</v>
      </c>
      <c r="B2268" s="63" t="s">
        <v>3545</v>
      </c>
      <c r="C2268" s="61"/>
      <c r="D2268" s="61"/>
    </row>
    <row r="2269" spans="1:4" ht="24.6" customHeight="1" thickBot="1" x14ac:dyDescent="0.25">
      <c r="A2269" s="62" t="s">
        <v>3546</v>
      </c>
      <c r="B2269" s="63" t="s">
        <v>3547</v>
      </c>
      <c r="C2269" s="61"/>
      <c r="D2269" s="61"/>
    </row>
    <row r="2270" spans="1:4" ht="24.6" customHeight="1" thickBot="1" x14ac:dyDescent="0.25">
      <c r="A2270" s="62" t="s">
        <v>3548</v>
      </c>
      <c r="B2270" s="63" t="s">
        <v>3549</v>
      </c>
      <c r="C2270" s="61"/>
      <c r="D2270" s="61"/>
    </row>
    <row r="2271" spans="1:4" ht="24.6" customHeight="1" thickBot="1" x14ac:dyDescent="0.25">
      <c r="A2271" s="62" t="s">
        <v>3550</v>
      </c>
      <c r="B2271" s="63" t="s">
        <v>3551</v>
      </c>
      <c r="C2271" s="61"/>
      <c r="D2271" s="61"/>
    </row>
    <row r="2272" spans="1:4" ht="24.6" customHeight="1" thickBot="1" x14ac:dyDescent="0.25">
      <c r="A2272" s="62" t="s">
        <v>3552</v>
      </c>
      <c r="B2272" s="63" t="s">
        <v>3553</v>
      </c>
      <c r="C2272" s="61"/>
      <c r="D2272" s="61"/>
    </row>
    <row r="2273" spans="1:4" ht="24.6" customHeight="1" thickBot="1" x14ac:dyDescent="0.25">
      <c r="A2273" s="62" t="s">
        <v>3554</v>
      </c>
      <c r="B2273" s="63" t="s">
        <v>3555</v>
      </c>
      <c r="C2273" s="65"/>
      <c r="D2273" s="61"/>
    </row>
    <row r="2274" spans="1:4" ht="24.6" customHeight="1" thickBot="1" x14ac:dyDescent="0.25">
      <c r="A2274" s="62" t="s">
        <v>3556</v>
      </c>
      <c r="B2274" s="911" t="s">
        <v>3557</v>
      </c>
      <c r="C2274" s="912"/>
      <c r="D2274" s="61"/>
    </row>
    <row r="2275" spans="1:4" ht="24.6" customHeight="1" thickBot="1" x14ac:dyDescent="0.25">
      <c r="A2275" s="62" t="s">
        <v>3558</v>
      </c>
      <c r="B2275" s="911" t="s">
        <v>3559</v>
      </c>
      <c r="C2275" s="912"/>
      <c r="D2275" s="61"/>
    </row>
    <row r="2276" spans="1:4" ht="24.6" customHeight="1" thickBot="1" x14ac:dyDescent="0.25">
      <c r="A2276" s="62" t="s">
        <v>3560</v>
      </c>
      <c r="B2276" s="911" t="s">
        <v>3561</v>
      </c>
      <c r="C2276" s="912"/>
      <c r="D2276" s="61"/>
    </row>
    <row r="2277" spans="1:4" ht="24.6" customHeight="1" thickBot="1" x14ac:dyDescent="0.25">
      <c r="A2277" s="62" t="s">
        <v>3562</v>
      </c>
      <c r="B2277" s="911" t="s">
        <v>3563</v>
      </c>
      <c r="C2277" s="912"/>
      <c r="D2277" s="61"/>
    </row>
    <row r="2278" spans="1:4" ht="24.6" customHeight="1" thickBot="1" x14ac:dyDescent="0.25">
      <c r="A2278" s="62" t="s">
        <v>3564</v>
      </c>
      <c r="B2278" s="911" t="s">
        <v>3565</v>
      </c>
      <c r="C2278" s="912"/>
      <c r="D2278" s="61"/>
    </row>
    <row r="2279" spans="1:4" ht="24.6" customHeight="1" thickBot="1" x14ac:dyDescent="0.25">
      <c r="A2279" s="62" t="s">
        <v>3566</v>
      </c>
      <c r="B2279" s="911" t="s">
        <v>3567</v>
      </c>
      <c r="C2279" s="912"/>
      <c r="D2279" s="61"/>
    </row>
    <row r="2280" spans="1:4" ht="24.6" customHeight="1" thickBot="1" x14ac:dyDescent="0.25">
      <c r="A2280" s="62" t="s">
        <v>3568</v>
      </c>
      <c r="B2280" s="911" t="s">
        <v>3569</v>
      </c>
      <c r="C2280" s="912"/>
      <c r="D2280" s="61"/>
    </row>
    <row r="2281" spans="1:4" ht="24.6" customHeight="1" thickBot="1" x14ac:dyDescent="0.25">
      <c r="A2281" s="62" t="s">
        <v>3570</v>
      </c>
      <c r="B2281" s="911" t="s">
        <v>3571</v>
      </c>
      <c r="C2281" s="912"/>
      <c r="D2281" s="61"/>
    </row>
    <row r="2282" spans="1:4" ht="24.6" customHeight="1" thickBot="1" x14ac:dyDescent="0.25">
      <c r="A2282" s="62" t="s">
        <v>3572</v>
      </c>
      <c r="B2282" s="911" t="s">
        <v>3573</v>
      </c>
      <c r="C2282" s="912"/>
      <c r="D2282" s="61"/>
    </row>
    <row r="2283" spans="1:4" ht="24.6" customHeight="1" thickBot="1" x14ac:dyDescent="0.25">
      <c r="A2283" s="62" t="s">
        <v>3574</v>
      </c>
      <c r="B2283" s="911" t="s">
        <v>3575</v>
      </c>
      <c r="C2283" s="912"/>
      <c r="D2283" s="61"/>
    </row>
    <row r="2284" spans="1:4" ht="24.6" customHeight="1" thickBot="1" x14ac:dyDescent="0.25">
      <c r="A2284" s="62" t="s">
        <v>3576</v>
      </c>
      <c r="B2284" s="911" t="s">
        <v>3577</v>
      </c>
      <c r="C2284" s="912"/>
      <c r="D2284" s="61"/>
    </row>
    <row r="2285" spans="1:4" ht="24.6" customHeight="1" thickBot="1" x14ac:dyDescent="0.25">
      <c r="A2285" s="62" t="s">
        <v>3578</v>
      </c>
      <c r="B2285" s="911" t="s">
        <v>3579</v>
      </c>
      <c r="C2285" s="912"/>
      <c r="D2285" s="61"/>
    </row>
    <row r="2286" spans="1:4" ht="24.6" customHeight="1" thickBot="1" x14ac:dyDescent="0.25">
      <c r="A2286" s="62" t="s">
        <v>3580</v>
      </c>
      <c r="B2286" s="911" t="s">
        <v>3581</v>
      </c>
      <c r="C2286" s="912"/>
      <c r="D2286" s="61"/>
    </row>
    <row r="2287" spans="1:4" ht="24.6" customHeight="1" thickBot="1" x14ac:dyDescent="0.25">
      <c r="A2287" s="62" t="s">
        <v>3582</v>
      </c>
      <c r="B2287" s="911" t="s">
        <v>3583</v>
      </c>
      <c r="C2287" s="912"/>
      <c r="D2287" s="61"/>
    </row>
    <row r="2288" spans="1:4" ht="24.6" customHeight="1" thickBot="1" x14ac:dyDescent="0.25">
      <c r="A2288" s="62" t="s">
        <v>3584</v>
      </c>
      <c r="B2288" s="911" t="s">
        <v>3585</v>
      </c>
      <c r="C2288" s="912"/>
      <c r="D2288" s="61"/>
    </row>
    <row r="2289" spans="1:4" ht="24.6" customHeight="1" thickBot="1" x14ac:dyDescent="0.25">
      <c r="A2289" s="62" t="s">
        <v>3586</v>
      </c>
      <c r="B2289" s="911" t="s">
        <v>3587</v>
      </c>
      <c r="C2289" s="912"/>
      <c r="D2289" s="61"/>
    </row>
    <row r="2290" spans="1:4" ht="24.6" customHeight="1" thickBot="1" x14ac:dyDescent="0.25">
      <c r="A2290" s="911" t="s">
        <v>3447</v>
      </c>
      <c r="B2290" s="913"/>
      <c r="C2290" s="912"/>
      <c r="D2290" s="61"/>
    </row>
    <row r="2291" spans="1:4" ht="24.6" customHeight="1" thickBot="1" x14ac:dyDescent="0.25">
      <c r="A2291" s="62" t="s">
        <v>3588</v>
      </c>
      <c r="B2291" s="911" t="s">
        <v>3589</v>
      </c>
      <c r="C2291" s="912"/>
      <c r="D2291" s="61"/>
    </row>
    <row r="2292" spans="1:4" ht="24.6" customHeight="1" thickBot="1" x14ac:dyDescent="0.25">
      <c r="A2292" s="62" t="s">
        <v>3590</v>
      </c>
      <c r="B2292" s="911" t="s">
        <v>3591</v>
      </c>
      <c r="C2292" s="912"/>
      <c r="D2292" s="61"/>
    </row>
    <row r="2293" spans="1:4" ht="24.6" customHeight="1" thickBot="1" x14ac:dyDescent="0.25">
      <c r="A2293" s="62" t="s">
        <v>3592</v>
      </c>
      <c r="B2293" s="911" t="s">
        <v>3593</v>
      </c>
      <c r="C2293" s="912"/>
      <c r="D2293" s="61"/>
    </row>
    <row r="2294" spans="1:4" ht="24.6" customHeight="1" thickBot="1" x14ac:dyDescent="0.25">
      <c r="A2294" s="62" t="s">
        <v>3594</v>
      </c>
      <c r="B2294" s="911" t="s">
        <v>3595</v>
      </c>
      <c r="C2294" s="912"/>
      <c r="D2294" s="61"/>
    </row>
    <row r="2295" spans="1:4" ht="24.6" customHeight="1" thickBot="1" x14ac:dyDescent="0.25">
      <c r="A2295" s="911" t="s">
        <v>3372</v>
      </c>
      <c r="B2295" s="913"/>
      <c r="C2295" s="912"/>
      <c r="D2295" s="61"/>
    </row>
    <row r="2296" spans="1:4" ht="24.6" customHeight="1" thickBot="1" x14ac:dyDescent="0.25">
      <c r="A2296" s="62" t="s">
        <v>3596</v>
      </c>
      <c r="B2296" s="911" t="s">
        <v>3597</v>
      </c>
      <c r="C2296" s="912"/>
      <c r="D2296" s="61"/>
    </row>
    <row r="2297" spans="1:4" ht="24.6" customHeight="1" thickBot="1" x14ac:dyDescent="0.25">
      <c r="A2297" s="62" t="s">
        <v>3598</v>
      </c>
      <c r="B2297" s="911" t="s">
        <v>3599</v>
      </c>
      <c r="C2297" s="912"/>
      <c r="D2297" s="61"/>
    </row>
    <row r="2298" spans="1:4" ht="24.6" customHeight="1" thickBot="1" x14ac:dyDescent="0.25">
      <c r="A2298" s="62" t="s">
        <v>3600</v>
      </c>
      <c r="B2298" s="911" t="s">
        <v>3601</v>
      </c>
      <c r="C2298" s="912"/>
      <c r="D2298" s="61"/>
    </row>
    <row r="2299" spans="1:4" ht="24.6" customHeight="1" thickBot="1" x14ac:dyDescent="0.25">
      <c r="A2299" s="62" t="s">
        <v>3602</v>
      </c>
      <c r="B2299" s="911" t="s">
        <v>3603</v>
      </c>
      <c r="C2299" s="912"/>
      <c r="D2299" s="61"/>
    </row>
    <row r="2300" spans="1:4" ht="24.6" customHeight="1" thickBot="1" x14ac:dyDescent="0.25">
      <c r="A2300" s="62" t="s">
        <v>3604</v>
      </c>
      <c r="B2300" s="911" t="s">
        <v>3605</v>
      </c>
      <c r="C2300" s="912"/>
      <c r="D2300" s="61"/>
    </row>
    <row r="2301" spans="1:4" ht="24.6" customHeight="1" thickBot="1" x14ac:dyDescent="0.25">
      <c r="A2301" s="62" t="s">
        <v>3606</v>
      </c>
      <c r="B2301" s="911" t="s">
        <v>3607</v>
      </c>
      <c r="C2301" s="912"/>
      <c r="D2301" s="61"/>
    </row>
    <row r="2302" spans="1:4" ht="24.6" customHeight="1" thickBot="1" x14ac:dyDescent="0.25">
      <c r="A2302" s="62" t="s">
        <v>3608</v>
      </c>
      <c r="B2302" s="911" t="s">
        <v>3609</v>
      </c>
      <c r="C2302" s="912"/>
      <c r="D2302" s="61"/>
    </row>
    <row r="2303" spans="1:4" ht="24.6" customHeight="1" thickBot="1" x14ac:dyDescent="0.25">
      <c r="A2303" s="62" t="s">
        <v>3610</v>
      </c>
      <c r="B2303" s="911" t="s">
        <v>3611</v>
      </c>
      <c r="C2303" s="912"/>
      <c r="D2303" s="61"/>
    </row>
    <row r="2304" spans="1:4" ht="24.6" customHeight="1" thickBot="1" x14ac:dyDescent="0.25">
      <c r="A2304" s="62" t="s">
        <v>3612</v>
      </c>
      <c r="B2304" s="911" t="s">
        <v>3613</v>
      </c>
      <c r="C2304" s="912"/>
      <c r="D2304" s="61"/>
    </row>
    <row r="2305" spans="1:4" ht="24.6" customHeight="1" thickBot="1" x14ac:dyDescent="0.25">
      <c r="A2305" s="62" t="s">
        <v>3614</v>
      </c>
      <c r="B2305" s="911" t="s">
        <v>3615</v>
      </c>
      <c r="C2305" s="912"/>
      <c r="D2305" s="61"/>
    </row>
    <row r="2306" spans="1:4" ht="24.6" customHeight="1" thickBot="1" x14ac:dyDescent="0.25">
      <c r="A2306" s="62" t="s">
        <v>3616</v>
      </c>
      <c r="B2306" s="911" t="s">
        <v>3519</v>
      </c>
      <c r="C2306" s="912"/>
      <c r="D2306" s="61"/>
    </row>
    <row r="2307" spans="1:4" ht="24.6" customHeight="1" thickBot="1" x14ac:dyDescent="0.25">
      <c r="A2307" s="62" t="s">
        <v>3617</v>
      </c>
      <c r="B2307" s="911" t="s">
        <v>3618</v>
      </c>
      <c r="C2307" s="912"/>
      <c r="D2307" s="61"/>
    </row>
    <row r="2308" spans="1:4" ht="24.6" customHeight="1" thickBot="1" x14ac:dyDescent="0.25">
      <c r="A2308" s="62" t="s">
        <v>3619</v>
      </c>
      <c r="B2308" s="911" t="s">
        <v>3620</v>
      </c>
      <c r="C2308" s="912"/>
      <c r="D2308" s="61"/>
    </row>
    <row r="2309" spans="1:4" ht="24.6" customHeight="1" thickBot="1" x14ac:dyDescent="0.25">
      <c r="A2309" s="62" t="s">
        <v>3621</v>
      </c>
      <c r="B2309" s="911" t="s">
        <v>3622</v>
      </c>
      <c r="C2309" s="912"/>
      <c r="D2309" s="61"/>
    </row>
    <row r="2310" spans="1:4" ht="24.6" customHeight="1" thickBot="1" x14ac:dyDescent="0.25">
      <c r="A2310" s="62" t="s">
        <v>3623</v>
      </c>
      <c r="B2310" s="911" t="s">
        <v>3624</v>
      </c>
      <c r="C2310" s="912"/>
      <c r="D2310" s="61"/>
    </row>
    <row r="2311" spans="1:4" ht="24.6" customHeight="1" thickBot="1" x14ac:dyDescent="0.25">
      <c r="A2311" s="62" t="s">
        <v>3625</v>
      </c>
      <c r="B2311" s="911" t="s">
        <v>3626</v>
      </c>
      <c r="C2311" s="912"/>
      <c r="D2311" s="61"/>
    </row>
    <row r="2312" spans="1:4" ht="24.6" customHeight="1" thickBot="1" x14ac:dyDescent="0.25">
      <c r="A2312" s="62" t="s">
        <v>3627</v>
      </c>
      <c r="B2312" s="911" t="s">
        <v>3628</v>
      </c>
      <c r="C2312" s="912"/>
      <c r="D2312" s="61"/>
    </row>
    <row r="2313" spans="1:4" ht="24.6" customHeight="1" thickBot="1" x14ac:dyDescent="0.25">
      <c r="A2313" s="62" t="s">
        <v>3629</v>
      </c>
      <c r="B2313" s="911" t="s">
        <v>3628</v>
      </c>
      <c r="C2313" s="912"/>
      <c r="D2313" s="61"/>
    </row>
    <row r="2314" spans="1:4" ht="24.6" customHeight="1" thickBot="1" x14ac:dyDescent="0.25">
      <c r="A2314" s="62" t="s">
        <v>3630</v>
      </c>
      <c r="B2314" s="911" t="s">
        <v>3589</v>
      </c>
      <c r="C2314" s="912"/>
      <c r="D2314" s="61"/>
    </row>
    <row r="2315" spans="1:4" ht="24.6" customHeight="1" thickBot="1" x14ac:dyDescent="0.25">
      <c r="A2315" s="62" t="s">
        <v>3631</v>
      </c>
      <c r="B2315" s="911" t="s">
        <v>3632</v>
      </c>
      <c r="C2315" s="912"/>
      <c r="D2315" s="61"/>
    </row>
    <row r="2316" spans="1:4" ht="24.6" customHeight="1" thickBot="1" x14ac:dyDescent="0.25">
      <c r="A2316" s="62" t="s">
        <v>3633</v>
      </c>
      <c r="B2316" s="911" t="s">
        <v>3634</v>
      </c>
      <c r="C2316" s="912"/>
      <c r="D2316" s="61"/>
    </row>
    <row r="2317" spans="1:4" ht="24.6" customHeight="1" thickBot="1" x14ac:dyDescent="0.25">
      <c r="A2317" s="62" t="s">
        <v>3635</v>
      </c>
      <c r="B2317" s="911" t="s">
        <v>3636</v>
      </c>
      <c r="C2317" s="912"/>
      <c r="D2317" s="61"/>
    </row>
    <row r="2318" spans="1:4" ht="24.6" customHeight="1" thickBot="1" x14ac:dyDescent="0.25">
      <c r="A2318" s="911" t="s">
        <v>1091</v>
      </c>
      <c r="B2318" s="912"/>
      <c r="C2318" s="61"/>
      <c r="D2318" s="61"/>
    </row>
    <row r="2319" spans="1:4" ht="24.6" customHeight="1" thickBot="1" x14ac:dyDescent="0.25">
      <c r="A2319" s="62" t="s">
        <v>3637</v>
      </c>
      <c r="B2319" s="63" t="s">
        <v>3638</v>
      </c>
      <c r="C2319" s="61"/>
      <c r="D2319" s="61"/>
    </row>
    <row r="2320" spans="1:4" ht="24.6" customHeight="1" thickBot="1" x14ac:dyDescent="0.25">
      <c r="A2320" s="62" t="s">
        <v>3639</v>
      </c>
      <c r="B2320" s="63" t="s">
        <v>3640</v>
      </c>
      <c r="C2320" s="61"/>
      <c r="D2320" s="61"/>
    </row>
    <row r="2321" spans="1:4" ht="24.6" customHeight="1" thickBot="1" x14ac:dyDescent="0.25">
      <c r="A2321" s="62" t="s">
        <v>3641</v>
      </c>
      <c r="B2321" s="63" t="s">
        <v>3642</v>
      </c>
      <c r="C2321" s="61"/>
      <c r="D2321" s="61"/>
    </row>
    <row r="2322" spans="1:4" ht="24.6" customHeight="1" thickBot="1" x14ac:dyDescent="0.25">
      <c r="A2322" s="62" t="s">
        <v>3643</v>
      </c>
      <c r="B2322" s="63" t="s">
        <v>3634</v>
      </c>
      <c r="C2322" s="61"/>
      <c r="D2322" s="61"/>
    </row>
    <row r="2323" spans="1:4" ht="24.6" customHeight="1" thickBot="1" x14ac:dyDescent="0.25">
      <c r="A2323" s="62" t="s">
        <v>3644</v>
      </c>
      <c r="B2323" s="63" t="s">
        <v>3645</v>
      </c>
      <c r="C2323" s="61"/>
      <c r="D2323" s="61"/>
    </row>
    <row r="2324" spans="1:4" ht="24.6" customHeight="1" thickBot="1" x14ac:dyDescent="0.25">
      <c r="A2324" s="911" t="s">
        <v>197</v>
      </c>
      <c r="B2324" s="912"/>
      <c r="C2324" s="61"/>
      <c r="D2324" s="61"/>
    </row>
    <row r="2325" spans="1:4" ht="24.6" customHeight="1" thickBot="1" x14ac:dyDescent="0.25">
      <c r="A2325" s="62" t="s">
        <v>3646</v>
      </c>
      <c r="B2325" s="63" t="s">
        <v>3638</v>
      </c>
      <c r="C2325" s="61"/>
      <c r="D2325" s="61"/>
    </row>
    <row r="2326" spans="1:4" ht="24.6" customHeight="1" thickBot="1" x14ac:dyDescent="0.25">
      <c r="A2326" s="62" t="s">
        <v>3647</v>
      </c>
      <c r="B2326" s="63" t="s">
        <v>3648</v>
      </c>
      <c r="C2326" s="61"/>
      <c r="D2326" s="61"/>
    </row>
    <row r="2327" spans="1:4" ht="24.6" customHeight="1" thickBot="1" x14ac:dyDescent="0.25">
      <c r="A2327" s="62" t="s">
        <v>3649</v>
      </c>
      <c r="B2327" s="63" t="s">
        <v>3519</v>
      </c>
      <c r="C2327" s="61"/>
      <c r="D2327" s="61"/>
    </row>
    <row r="2328" spans="1:4" ht="24.6" customHeight="1" thickBot="1" x14ac:dyDescent="0.25">
      <c r="A2328" s="62" t="s">
        <v>3650</v>
      </c>
      <c r="B2328" s="63" t="s">
        <v>3521</v>
      </c>
      <c r="C2328" s="61"/>
      <c r="D2328" s="61"/>
    </row>
    <row r="2329" spans="1:4" ht="24.6" customHeight="1" thickBot="1" x14ac:dyDescent="0.25">
      <c r="A2329" s="62" t="s">
        <v>3651</v>
      </c>
      <c r="B2329" s="63" t="s">
        <v>3652</v>
      </c>
      <c r="C2329" s="61"/>
      <c r="D2329" s="61"/>
    </row>
    <row r="2330" spans="1:4" ht="24.6" customHeight="1" thickBot="1" x14ac:dyDescent="0.25">
      <c r="A2330" s="62" t="s">
        <v>3653</v>
      </c>
      <c r="B2330" s="63" t="s">
        <v>3654</v>
      </c>
      <c r="C2330" s="61"/>
      <c r="D2330" s="61"/>
    </row>
    <row r="2331" spans="1:4" ht="24.6" customHeight="1" thickBot="1" x14ac:dyDescent="0.25">
      <c r="A2331" s="62" t="s">
        <v>3655</v>
      </c>
      <c r="B2331" s="63" t="s">
        <v>3642</v>
      </c>
      <c r="C2331" s="61"/>
      <c r="D2331" s="61"/>
    </row>
    <row r="2332" spans="1:4" ht="24.6" customHeight="1" thickBot="1" x14ac:dyDescent="0.25">
      <c r="A2332" s="911" t="s">
        <v>3656</v>
      </c>
      <c r="B2332" s="912"/>
      <c r="C2332" s="61"/>
      <c r="D2332" s="61"/>
    </row>
    <row r="2333" spans="1:4" ht="24.6" customHeight="1" thickBot="1" x14ac:dyDescent="0.25">
      <c r="A2333" s="62" t="s">
        <v>3657</v>
      </c>
      <c r="B2333" s="63" t="s">
        <v>3658</v>
      </c>
      <c r="C2333" s="61"/>
      <c r="D2333" s="61"/>
    </row>
    <row r="2334" spans="1:4" ht="24.6" customHeight="1" thickBot="1" x14ac:dyDescent="0.25">
      <c r="A2334" s="62" t="s">
        <v>3659</v>
      </c>
      <c r="B2334" s="63" t="s">
        <v>3660</v>
      </c>
      <c r="C2334" s="61"/>
      <c r="D2334" s="61"/>
    </row>
    <row r="2335" spans="1:4" ht="24.6" customHeight="1" thickBot="1" x14ac:dyDescent="0.25">
      <c r="A2335" s="62" t="s">
        <v>3661</v>
      </c>
      <c r="B2335" s="63" t="s">
        <v>3628</v>
      </c>
      <c r="C2335" s="61"/>
      <c r="D2335" s="61"/>
    </row>
    <row r="2336" spans="1:4" ht="24.6" customHeight="1" thickBot="1" x14ac:dyDescent="0.25">
      <c r="A2336" s="911" t="s">
        <v>3662</v>
      </c>
      <c r="B2336" s="912"/>
      <c r="C2336" s="61"/>
      <c r="D2336" s="61"/>
    </row>
    <row r="2337" spans="1:4" ht="24.6" customHeight="1" thickBot="1" x14ac:dyDescent="0.25">
      <c r="A2337" s="62" t="s">
        <v>3663</v>
      </c>
      <c r="B2337" s="63" t="s">
        <v>3628</v>
      </c>
      <c r="C2337" s="61"/>
      <c r="D2337" s="61"/>
    </row>
    <row r="2338" spans="1:4" ht="24.6" customHeight="1" thickBot="1" x14ac:dyDescent="0.25">
      <c r="A2338" s="62" t="s">
        <v>3664</v>
      </c>
      <c r="B2338" s="63" t="s">
        <v>3628</v>
      </c>
      <c r="C2338" s="61"/>
      <c r="D2338" s="61"/>
    </row>
    <row r="2339" spans="1:4" ht="24.6" customHeight="1" thickBot="1" x14ac:dyDescent="0.25">
      <c r="A2339" s="911" t="s">
        <v>1168</v>
      </c>
      <c r="B2339" s="912"/>
      <c r="C2339" s="61"/>
      <c r="D2339" s="61"/>
    </row>
    <row r="2340" spans="1:4" ht="24.6" customHeight="1" thickBot="1" x14ac:dyDescent="0.25">
      <c r="A2340" s="911" t="s">
        <v>1169</v>
      </c>
      <c r="B2340" s="912"/>
      <c r="C2340" s="61"/>
      <c r="D2340" s="61"/>
    </row>
    <row r="2341" spans="1:4" ht="24.6" customHeight="1" thickBot="1" x14ac:dyDescent="0.25">
      <c r="A2341" s="62" t="s">
        <v>3665</v>
      </c>
      <c r="B2341" s="63" t="s">
        <v>3666</v>
      </c>
      <c r="C2341" s="61"/>
      <c r="D2341" s="61"/>
    </row>
    <row r="2342" spans="1:4" ht="24.6" customHeight="1" thickBot="1" x14ac:dyDescent="0.25">
      <c r="A2342" s="62" t="s">
        <v>3667</v>
      </c>
      <c r="B2342" s="63" t="s">
        <v>3668</v>
      </c>
      <c r="C2342" s="61"/>
      <c r="D2342" s="61"/>
    </row>
    <row r="2343" spans="1:4" ht="24.6" customHeight="1" thickBot="1" x14ac:dyDescent="0.25">
      <c r="A2343" s="911" t="s">
        <v>3669</v>
      </c>
      <c r="B2343" s="912"/>
      <c r="C2343" s="61"/>
      <c r="D2343" s="61"/>
    </row>
    <row r="2344" spans="1:4" ht="24.6" customHeight="1" thickBot="1" x14ac:dyDescent="0.25">
      <c r="A2344" s="62" t="s">
        <v>3670</v>
      </c>
      <c r="B2344" s="63" t="s">
        <v>3671</v>
      </c>
      <c r="C2344" s="61"/>
      <c r="D2344" s="61"/>
    </row>
    <row r="2345" spans="1:4" ht="24.6" customHeight="1" thickBot="1" x14ac:dyDescent="0.25">
      <c r="A2345" s="911" t="s">
        <v>3672</v>
      </c>
      <c r="B2345" s="912"/>
      <c r="C2345" s="61"/>
      <c r="D2345" s="61"/>
    </row>
    <row r="2346" spans="1:4" ht="24.6" customHeight="1" thickBot="1" x14ac:dyDescent="0.25">
      <c r="A2346" s="62" t="s">
        <v>3673</v>
      </c>
      <c r="B2346" s="63" t="s">
        <v>3674</v>
      </c>
      <c r="C2346" s="61"/>
      <c r="D2346" s="61"/>
    </row>
    <row r="2347" spans="1:4" ht="24.6" customHeight="1" thickBot="1" x14ac:dyDescent="0.25">
      <c r="A2347" s="911" t="s">
        <v>3675</v>
      </c>
      <c r="B2347" s="912"/>
      <c r="C2347" s="61"/>
      <c r="D2347" s="61"/>
    </row>
    <row r="2348" spans="1:4" ht="24.6" customHeight="1" thickBot="1" x14ac:dyDescent="0.25">
      <c r="A2348" s="62" t="s">
        <v>3676</v>
      </c>
      <c r="B2348" s="63" t="s">
        <v>3677</v>
      </c>
      <c r="C2348" s="61"/>
      <c r="D2348" s="61"/>
    </row>
    <row r="2349" spans="1:4" ht="24.6" customHeight="1" thickBot="1" x14ac:dyDescent="0.25">
      <c r="A2349" s="911" t="s">
        <v>3678</v>
      </c>
      <c r="B2349" s="912"/>
      <c r="C2349" s="61"/>
      <c r="D2349" s="61"/>
    </row>
    <row r="2350" spans="1:4" ht="24.6" customHeight="1" thickBot="1" x14ac:dyDescent="0.25">
      <c r="A2350" s="62" t="s">
        <v>3679</v>
      </c>
      <c r="B2350" s="63" t="s">
        <v>3680</v>
      </c>
      <c r="C2350" s="61"/>
      <c r="D2350" s="61"/>
    </row>
    <row r="2351" spans="1:4" ht="24.6" customHeight="1" thickBot="1" x14ac:dyDescent="0.25">
      <c r="A2351" s="911" t="s">
        <v>3681</v>
      </c>
      <c r="B2351" s="912"/>
      <c r="C2351" s="61"/>
      <c r="D2351" s="61"/>
    </row>
    <row r="2352" spans="1:4" ht="24.6" customHeight="1" thickBot="1" x14ac:dyDescent="0.25">
      <c r="A2352" s="62" t="s">
        <v>3682</v>
      </c>
      <c r="B2352" s="63" t="s">
        <v>3683</v>
      </c>
      <c r="C2352" s="61"/>
      <c r="D2352" s="61"/>
    </row>
    <row r="2353" spans="1:4" ht="24.6" customHeight="1" thickBot="1" x14ac:dyDescent="0.25">
      <c r="A2353" s="911" t="s">
        <v>3684</v>
      </c>
      <c r="B2353" s="912"/>
      <c r="C2353" s="61"/>
      <c r="D2353" s="61"/>
    </row>
    <row r="2354" spans="1:4" ht="24.6" customHeight="1" thickBot="1" x14ac:dyDescent="0.25">
      <c r="A2354" s="62" t="s">
        <v>3685</v>
      </c>
      <c r="B2354" s="63" t="s">
        <v>3686</v>
      </c>
      <c r="C2354" s="61"/>
      <c r="D2354" s="61"/>
    </row>
    <row r="2355" spans="1:4" ht="24.6" customHeight="1" thickBot="1" x14ac:dyDescent="0.25">
      <c r="A2355" s="911" t="s">
        <v>3687</v>
      </c>
      <c r="B2355" s="912"/>
      <c r="C2355" s="61"/>
      <c r="D2355" s="61"/>
    </row>
    <row r="2356" spans="1:4" ht="24.6" customHeight="1" thickBot="1" x14ac:dyDescent="0.25">
      <c r="A2356" s="62" t="s">
        <v>3688</v>
      </c>
      <c r="B2356" s="63" t="s">
        <v>3666</v>
      </c>
      <c r="C2356" s="61"/>
      <c r="D2356" s="61"/>
    </row>
    <row r="2357" spans="1:4" ht="24.6" customHeight="1" thickBot="1" x14ac:dyDescent="0.25">
      <c r="A2357" s="62" t="s">
        <v>3689</v>
      </c>
      <c r="B2357" s="63" t="s">
        <v>3668</v>
      </c>
      <c r="C2357" s="61"/>
      <c r="D2357" s="61"/>
    </row>
    <row r="2358" spans="1:4" ht="24.6" customHeight="1" thickBot="1" x14ac:dyDescent="0.25">
      <c r="A2358" s="62" t="s">
        <v>3690</v>
      </c>
      <c r="B2358" s="63" t="s">
        <v>3691</v>
      </c>
      <c r="C2358" s="61"/>
      <c r="D2358" s="61"/>
    </row>
    <row r="2359" spans="1:4" ht="24.6" customHeight="1" thickBot="1" x14ac:dyDescent="0.25">
      <c r="A2359" s="911" t="s">
        <v>3692</v>
      </c>
      <c r="B2359" s="912"/>
      <c r="C2359" s="61"/>
      <c r="D2359" s="61"/>
    </row>
    <row r="2360" spans="1:4" ht="24.6" customHeight="1" thickBot="1" x14ac:dyDescent="0.25">
      <c r="A2360" s="62" t="s">
        <v>3693</v>
      </c>
      <c r="B2360" s="63" t="s">
        <v>3694</v>
      </c>
      <c r="C2360" s="61"/>
      <c r="D2360" s="61"/>
    </row>
    <row r="2361" spans="1:4" ht="24.6" customHeight="1" thickBot="1" x14ac:dyDescent="0.25">
      <c r="A2361" s="62" t="s">
        <v>3695</v>
      </c>
      <c r="B2361" s="63" t="s">
        <v>3696</v>
      </c>
      <c r="C2361" s="61"/>
      <c r="D2361" s="61"/>
    </row>
    <row r="2362" spans="1:4" ht="24.6" customHeight="1" thickBot="1" x14ac:dyDescent="0.25">
      <c r="A2362" s="62" t="s">
        <v>3697</v>
      </c>
      <c r="B2362" s="63" t="s">
        <v>3698</v>
      </c>
      <c r="C2362" s="61"/>
      <c r="D2362" s="61"/>
    </row>
    <row r="2363" spans="1:4" ht="24.6" customHeight="1" thickBot="1" x14ac:dyDescent="0.25">
      <c r="A2363" s="62" t="s">
        <v>3699</v>
      </c>
      <c r="B2363" s="63" t="s">
        <v>3700</v>
      </c>
      <c r="C2363" s="61"/>
      <c r="D2363" s="61"/>
    </row>
    <row r="2364" spans="1:4" ht="24.6" customHeight="1" thickBot="1" x14ac:dyDescent="0.25">
      <c r="A2364" s="62" t="s">
        <v>3701</v>
      </c>
      <c r="B2364" s="63" t="s">
        <v>3702</v>
      </c>
      <c r="C2364" s="61"/>
      <c r="D2364" s="61"/>
    </row>
    <row r="2365" spans="1:4" ht="24.6" customHeight="1" thickBot="1" x14ac:dyDescent="0.25">
      <c r="A2365" s="62" t="s">
        <v>3703</v>
      </c>
      <c r="B2365" s="63" t="s">
        <v>3704</v>
      </c>
      <c r="C2365" s="61"/>
      <c r="D2365" s="61"/>
    </row>
    <row r="2366" spans="1:4" ht="24.6" customHeight="1" thickBot="1" x14ac:dyDescent="0.25">
      <c r="A2366" s="62" t="s">
        <v>3705</v>
      </c>
      <c r="B2366" s="63" t="s">
        <v>3706</v>
      </c>
      <c r="C2366" s="61"/>
      <c r="D2366" s="61"/>
    </row>
    <row r="2367" spans="1:4" ht="24.6" customHeight="1" thickBot="1" x14ac:dyDescent="0.25">
      <c r="A2367" s="62" t="s">
        <v>3707</v>
      </c>
      <c r="B2367" s="63" t="s">
        <v>3708</v>
      </c>
      <c r="C2367" s="61"/>
      <c r="D2367" s="61"/>
    </row>
    <row r="2368" spans="1:4" ht="24.6" customHeight="1" thickBot="1" x14ac:dyDescent="0.25">
      <c r="A2368" s="62" t="s">
        <v>3709</v>
      </c>
      <c r="B2368" s="63" t="s">
        <v>3710</v>
      </c>
      <c r="C2368" s="61"/>
      <c r="D2368" s="61"/>
    </row>
    <row r="2369" spans="1:4" ht="24.6" customHeight="1" thickBot="1" x14ac:dyDescent="0.25">
      <c r="A2369" s="62" t="s">
        <v>3711</v>
      </c>
      <c r="B2369" s="63" t="s">
        <v>3712</v>
      </c>
      <c r="C2369" s="61"/>
      <c r="D2369" s="61"/>
    </row>
    <row r="2370" spans="1:4" ht="24.6" customHeight="1" thickBot="1" x14ac:dyDescent="0.25">
      <c r="A2370" s="62" t="s">
        <v>3713</v>
      </c>
      <c r="B2370" s="63" t="s">
        <v>3714</v>
      </c>
      <c r="C2370" s="61"/>
      <c r="D2370" s="61"/>
    </row>
    <row r="2371" spans="1:4" ht="24.6" customHeight="1" thickBot="1" x14ac:dyDescent="0.25">
      <c r="A2371" s="62" t="s">
        <v>3715</v>
      </c>
      <c r="B2371" s="63" t="s">
        <v>3716</v>
      </c>
      <c r="C2371" s="61"/>
      <c r="D2371" s="61"/>
    </row>
    <row r="2372" spans="1:4" ht="24.6" customHeight="1" thickBot="1" x14ac:dyDescent="0.25">
      <c r="A2372" s="62" t="s">
        <v>3717</v>
      </c>
      <c r="B2372" s="63" t="s">
        <v>3718</v>
      </c>
      <c r="C2372" s="61"/>
      <c r="D2372" s="61"/>
    </row>
    <row r="2373" spans="1:4" ht="24.6" customHeight="1" thickBot="1" x14ac:dyDescent="0.25">
      <c r="A2373" s="911" t="s">
        <v>3719</v>
      </c>
      <c r="B2373" s="912"/>
      <c r="C2373" s="61"/>
      <c r="D2373" s="61"/>
    </row>
    <row r="2374" spans="1:4" ht="24.6" customHeight="1" thickBot="1" x14ac:dyDescent="0.25">
      <c r="A2374" s="62" t="s">
        <v>3720</v>
      </c>
      <c r="B2374" s="63" t="s">
        <v>3721</v>
      </c>
      <c r="C2374" s="61"/>
      <c r="D2374" s="61"/>
    </row>
    <row r="2375" spans="1:4" ht="24.6" customHeight="1" thickBot="1" x14ac:dyDescent="0.25">
      <c r="A2375" s="62" t="s">
        <v>3722</v>
      </c>
      <c r="B2375" s="63" t="s">
        <v>3723</v>
      </c>
      <c r="C2375" s="61"/>
      <c r="D2375" s="61"/>
    </row>
    <row r="2376" spans="1:4" ht="24.6" customHeight="1" thickBot="1" x14ac:dyDescent="0.25">
      <c r="A2376" s="62" t="s">
        <v>3724</v>
      </c>
      <c r="B2376" s="63" t="s">
        <v>3725</v>
      </c>
      <c r="C2376" s="61"/>
      <c r="D2376" s="61"/>
    </row>
    <row r="2377" spans="1:4" ht="24.6" customHeight="1" thickBot="1" x14ac:dyDescent="0.25">
      <c r="A2377" s="62" t="s">
        <v>3726</v>
      </c>
      <c r="B2377" s="63" t="s">
        <v>3727</v>
      </c>
      <c r="C2377" s="61"/>
      <c r="D2377" s="61"/>
    </row>
    <row r="2378" spans="1:4" ht="24.6" customHeight="1" thickBot="1" x14ac:dyDescent="0.25">
      <c r="A2378" s="62" t="s">
        <v>3728</v>
      </c>
      <c r="B2378" s="63" t="s">
        <v>3589</v>
      </c>
      <c r="C2378" s="61"/>
      <c r="D2378" s="61"/>
    </row>
    <row r="2379" spans="1:4" ht="24.6" customHeight="1" thickBot="1" x14ac:dyDescent="0.25">
      <c r="A2379" s="62" t="s">
        <v>3729</v>
      </c>
      <c r="B2379" s="63" t="s">
        <v>3632</v>
      </c>
      <c r="C2379" s="61"/>
      <c r="D2379" s="61"/>
    </row>
    <row r="2380" spans="1:4" ht="24.6" customHeight="1" thickBot="1" x14ac:dyDescent="0.25">
      <c r="A2380" s="62" t="s">
        <v>3730</v>
      </c>
      <c r="B2380" s="63" t="s">
        <v>3731</v>
      </c>
      <c r="C2380" s="61"/>
      <c r="D2380" s="61"/>
    </row>
  </sheetData>
  <mergeCells count="453">
    <mergeCell ref="A1:B1"/>
    <mergeCell ref="A2:B2"/>
    <mergeCell ref="A3:B3"/>
    <mergeCell ref="A8:B8"/>
    <mergeCell ref="A13:B13"/>
    <mergeCell ref="A17:B17"/>
    <mergeCell ref="A107:B107"/>
    <mergeCell ref="A113:B113"/>
    <mergeCell ref="A118:B118"/>
    <mergeCell ref="A63:B63"/>
    <mergeCell ref="A64:B64"/>
    <mergeCell ref="A71:B71"/>
    <mergeCell ref="A18:B18"/>
    <mergeCell ref="A28:B28"/>
    <mergeCell ref="A36:B36"/>
    <mergeCell ref="A39:B39"/>
    <mergeCell ref="A40:B40"/>
    <mergeCell ref="A49:B49"/>
    <mergeCell ref="A124:B124"/>
    <mergeCell ref="A150:B150"/>
    <mergeCell ref="A151:B151"/>
    <mergeCell ref="A72:B72"/>
    <mergeCell ref="A76:B76"/>
    <mergeCell ref="A92:B92"/>
    <mergeCell ref="B208:C208"/>
    <mergeCell ref="A209:C209"/>
    <mergeCell ref="B210:C210"/>
    <mergeCell ref="B211:C211"/>
    <mergeCell ref="B212:C212"/>
    <mergeCell ref="B213:C213"/>
    <mergeCell ref="A155:B155"/>
    <mergeCell ref="A176:B176"/>
    <mergeCell ref="A190:B190"/>
    <mergeCell ref="A202:B202"/>
    <mergeCell ref="A203:B203"/>
    <mergeCell ref="B207:C207"/>
    <mergeCell ref="B220:C220"/>
    <mergeCell ref="B221:C221"/>
    <mergeCell ref="B222:C222"/>
    <mergeCell ref="A223:C223"/>
    <mergeCell ref="B224:C224"/>
    <mergeCell ref="B225:C225"/>
    <mergeCell ref="B214:C214"/>
    <mergeCell ref="B215:C215"/>
    <mergeCell ref="A216:C216"/>
    <mergeCell ref="B217:C217"/>
    <mergeCell ref="B218:C218"/>
    <mergeCell ref="B219:C219"/>
    <mergeCell ref="A238:C238"/>
    <mergeCell ref="B239:C239"/>
    <mergeCell ref="B240:C240"/>
    <mergeCell ref="B241:C241"/>
    <mergeCell ref="B242:C242"/>
    <mergeCell ref="B243:C243"/>
    <mergeCell ref="B226:C226"/>
    <mergeCell ref="B227:C227"/>
    <mergeCell ref="B228:C228"/>
    <mergeCell ref="B229:C229"/>
    <mergeCell ref="B230:C230"/>
    <mergeCell ref="B250:C250"/>
    <mergeCell ref="A251:C251"/>
    <mergeCell ref="B252:C252"/>
    <mergeCell ref="A254:B254"/>
    <mergeCell ref="A269:B269"/>
    <mergeCell ref="A278:B278"/>
    <mergeCell ref="B244:C244"/>
    <mergeCell ref="A245:C245"/>
    <mergeCell ref="B246:C246"/>
    <mergeCell ref="B247:C247"/>
    <mergeCell ref="A248:C248"/>
    <mergeCell ref="B249:C249"/>
    <mergeCell ref="A342:B342"/>
    <mergeCell ref="A347:B347"/>
    <mergeCell ref="A358:B358"/>
    <mergeCell ref="A373:B373"/>
    <mergeCell ref="A385:B385"/>
    <mergeCell ref="A406:B406"/>
    <mergeCell ref="A285:B285"/>
    <mergeCell ref="A315:B315"/>
    <mergeCell ref="A323:B323"/>
    <mergeCell ref="A331:B331"/>
    <mergeCell ref="A333:B333"/>
    <mergeCell ref="A340:B340"/>
    <mergeCell ref="A437:B437"/>
    <mergeCell ref="A441:B441"/>
    <mergeCell ref="A444:B444"/>
    <mergeCell ref="A445:B445"/>
    <mergeCell ref="A446:B446"/>
    <mergeCell ref="A455:B455"/>
    <mergeCell ref="A412:B412"/>
    <mergeCell ref="A414:B414"/>
    <mergeCell ref="A422:B422"/>
    <mergeCell ref="A431:B431"/>
    <mergeCell ref="A435:B435"/>
    <mergeCell ref="A436:B436"/>
    <mergeCell ref="A489:B489"/>
    <mergeCell ref="A490:B490"/>
    <mergeCell ref="A491:B491"/>
    <mergeCell ref="A502:B502"/>
    <mergeCell ref="A513:B513"/>
    <mergeCell ref="A518:B518"/>
    <mergeCell ref="A460:B460"/>
    <mergeCell ref="A461:B461"/>
    <mergeCell ref="A467:B467"/>
    <mergeCell ref="A470:B470"/>
    <mergeCell ref="A471:B471"/>
    <mergeCell ref="A481:B481"/>
    <mergeCell ref="A560:B560"/>
    <mergeCell ref="A561:B561"/>
    <mergeCell ref="A563:B563"/>
    <mergeCell ref="A564:B564"/>
    <mergeCell ref="A565:B565"/>
    <mergeCell ref="A574:B574"/>
    <mergeCell ref="A519:B519"/>
    <mergeCell ref="A520:B520"/>
    <mergeCell ref="A537:B537"/>
    <mergeCell ref="A538:B538"/>
    <mergeCell ref="A539:B539"/>
    <mergeCell ref="A552:B552"/>
    <mergeCell ref="A602:B602"/>
    <mergeCell ref="A603:B603"/>
    <mergeCell ref="A604:B604"/>
    <mergeCell ref="A606:B606"/>
    <mergeCell ref="A611:B611"/>
    <mergeCell ref="A616:B616"/>
    <mergeCell ref="A584:B584"/>
    <mergeCell ref="A588:B588"/>
    <mergeCell ref="A591:B591"/>
    <mergeCell ref="A592:B592"/>
    <mergeCell ref="A594:B594"/>
    <mergeCell ref="A599:B599"/>
    <mergeCell ref="A631:B631"/>
    <mergeCell ref="A633:B633"/>
    <mergeCell ref="A635:B635"/>
    <mergeCell ref="A638:B638"/>
    <mergeCell ref="A641:B641"/>
    <mergeCell ref="A643:B643"/>
    <mergeCell ref="A619:B619"/>
    <mergeCell ref="A620:B620"/>
    <mergeCell ref="A621:B621"/>
    <mergeCell ref="A626:B626"/>
    <mergeCell ref="A627:B627"/>
    <mergeCell ref="A628:B628"/>
    <mergeCell ref="A655:B655"/>
    <mergeCell ref="A657:B657"/>
    <mergeCell ref="A660:B660"/>
    <mergeCell ref="A663:B663"/>
    <mergeCell ref="A664:B664"/>
    <mergeCell ref="A670:B670"/>
    <mergeCell ref="A645:B645"/>
    <mergeCell ref="A647:B647"/>
    <mergeCell ref="A650:B650"/>
    <mergeCell ref="A652:B652"/>
    <mergeCell ref="A653:B653"/>
    <mergeCell ref="A654:B654"/>
    <mergeCell ref="A706:B706"/>
    <mergeCell ref="A707:B707"/>
    <mergeCell ref="A708:B708"/>
    <mergeCell ref="A718:B718"/>
    <mergeCell ref="A719:B719"/>
    <mergeCell ref="A720:B720"/>
    <mergeCell ref="A671:B671"/>
    <mergeCell ref="A672:B672"/>
    <mergeCell ref="A684:B684"/>
    <mergeCell ref="A694:B694"/>
    <mergeCell ref="A701:B701"/>
    <mergeCell ref="A705:B705"/>
    <mergeCell ref="A766:B766"/>
    <mergeCell ref="A774:B774"/>
    <mergeCell ref="A775:B775"/>
    <mergeCell ref="A786:B786"/>
    <mergeCell ref="A794:B794"/>
    <mergeCell ref="A797:B797"/>
    <mergeCell ref="A727:B727"/>
    <mergeCell ref="A730:B730"/>
    <mergeCell ref="A741:B741"/>
    <mergeCell ref="A742:B742"/>
    <mergeCell ref="A755:B755"/>
    <mergeCell ref="A763:B763"/>
    <mergeCell ref="A843:B843"/>
    <mergeCell ref="A844:B844"/>
    <mergeCell ref="A857:B857"/>
    <mergeCell ref="A866:B866"/>
    <mergeCell ref="A873:B873"/>
    <mergeCell ref="A877:B877"/>
    <mergeCell ref="A803:B803"/>
    <mergeCell ref="A809:B809"/>
    <mergeCell ref="A810:B810"/>
    <mergeCell ref="A822:B822"/>
    <mergeCell ref="A830:B830"/>
    <mergeCell ref="A839:B839"/>
    <mergeCell ref="A920:B920"/>
    <mergeCell ref="A926:B926"/>
    <mergeCell ref="A933:B933"/>
    <mergeCell ref="A936:B936"/>
    <mergeCell ref="A939:B939"/>
    <mergeCell ref="A940:B940"/>
    <mergeCell ref="A879:B879"/>
    <mergeCell ref="A889:B889"/>
    <mergeCell ref="A894:B894"/>
    <mergeCell ref="A897:B897"/>
    <mergeCell ref="A898:B898"/>
    <mergeCell ref="A911:B911"/>
    <mergeCell ref="A1002:B1002"/>
    <mergeCell ref="A1010:B1010"/>
    <mergeCell ref="A1013:B1013"/>
    <mergeCell ref="A1033:B1033"/>
    <mergeCell ref="A1049:B1049"/>
    <mergeCell ref="A1056:B1056"/>
    <mergeCell ref="A952:B952"/>
    <mergeCell ref="A961:B961"/>
    <mergeCell ref="A980:B980"/>
    <mergeCell ref="A983:B983"/>
    <mergeCell ref="A987:B987"/>
    <mergeCell ref="A988:B988"/>
    <mergeCell ref="A1118:B1118"/>
    <mergeCell ref="A1133:B1133"/>
    <mergeCell ref="A1142:B1142"/>
    <mergeCell ref="A1143:B1143"/>
    <mergeCell ref="A1156:B1156"/>
    <mergeCell ref="A1178:B1178"/>
    <mergeCell ref="A1084:B1084"/>
    <mergeCell ref="A1091:B1091"/>
    <mergeCell ref="A1098:B1098"/>
    <mergeCell ref="A1101:B1101"/>
    <mergeCell ref="A1106:B1106"/>
    <mergeCell ref="A1117:B1117"/>
    <mergeCell ref="A1289:B1289"/>
    <mergeCell ref="A1302:B1302"/>
    <mergeCell ref="A1311:B1311"/>
    <mergeCell ref="A1314:B1314"/>
    <mergeCell ref="A1325:B1325"/>
    <mergeCell ref="A1345:B1345"/>
    <mergeCell ref="A1199:B1199"/>
    <mergeCell ref="A1245:B1245"/>
    <mergeCell ref="A1257:B1257"/>
    <mergeCell ref="A1260:B1260"/>
    <mergeCell ref="A1270:B1270"/>
    <mergeCell ref="A1288:B1288"/>
    <mergeCell ref="A1390:B1390"/>
    <mergeCell ref="A1393:B1393"/>
    <mergeCell ref="A1404:B1404"/>
    <mergeCell ref="A1420:B1420"/>
    <mergeCell ref="A1424:B1424"/>
    <mergeCell ref="A1430:B1430"/>
    <mergeCell ref="A1352:B1352"/>
    <mergeCell ref="A1355:B1355"/>
    <mergeCell ref="A1358:B1358"/>
    <mergeCell ref="A1369:B1369"/>
    <mergeCell ref="A1370:B1370"/>
    <mergeCell ref="A1381:B1381"/>
    <mergeCell ref="A1476:B1476"/>
    <mergeCell ref="A1479:B1479"/>
    <mergeCell ref="A1482:B1482"/>
    <mergeCell ref="A1483:B1483"/>
    <mergeCell ref="A1496:B1496"/>
    <mergeCell ref="A1505:B1505"/>
    <mergeCell ref="A1437:B1437"/>
    <mergeCell ref="A1438:B1438"/>
    <mergeCell ref="A1451:B1451"/>
    <mergeCell ref="A1459:B1459"/>
    <mergeCell ref="A1463:B1463"/>
    <mergeCell ref="A1465:B1465"/>
    <mergeCell ref="A1529:B1529"/>
    <mergeCell ref="A1537:B1537"/>
    <mergeCell ref="A1558:B1558"/>
    <mergeCell ref="A1561:B1561"/>
    <mergeCell ref="A1564:B1564"/>
    <mergeCell ref="A1565:B1565"/>
    <mergeCell ref="A1507:B1507"/>
    <mergeCell ref="A1509:B1509"/>
    <mergeCell ref="A1511:B1511"/>
    <mergeCell ref="A1515:B1515"/>
    <mergeCell ref="A1516:B1516"/>
    <mergeCell ref="A1517:B1517"/>
    <mergeCell ref="A1628:B1628"/>
    <mergeCell ref="A1678:B1678"/>
    <mergeCell ref="A1681:B1681"/>
    <mergeCell ref="A1682:B1682"/>
    <mergeCell ref="A1695:B1695"/>
    <mergeCell ref="A1740:B1740"/>
    <mergeCell ref="A1578:B1578"/>
    <mergeCell ref="A1586:B1586"/>
    <mergeCell ref="A1607:B1607"/>
    <mergeCell ref="A1610:B1610"/>
    <mergeCell ref="A1613:B1613"/>
    <mergeCell ref="A1614:B1614"/>
    <mergeCell ref="A1845:B1845"/>
    <mergeCell ref="A1856:B1856"/>
    <mergeCell ref="A1877:B1877"/>
    <mergeCell ref="A1884:B1884"/>
    <mergeCell ref="A1886:C1886"/>
    <mergeCell ref="B1887:C1887"/>
    <mergeCell ref="A1742:B1742"/>
    <mergeCell ref="A1743:B1743"/>
    <mergeCell ref="A1744:B1744"/>
    <mergeCell ref="A1819:B1819"/>
    <mergeCell ref="A1820:B1820"/>
    <mergeCell ref="A1836:B1836"/>
    <mergeCell ref="B1894:C1894"/>
    <mergeCell ref="B1895:C1895"/>
    <mergeCell ref="B1896:C1896"/>
    <mergeCell ref="B1897:C1897"/>
    <mergeCell ref="B1898:C1898"/>
    <mergeCell ref="B1899:C1899"/>
    <mergeCell ref="A1888:C1888"/>
    <mergeCell ref="A1889:C1889"/>
    <mergeCell ref="A1890:C1890"/>
    <mergeCell ref="A1891:C1891"/>
    <mergeCell ref="B1892:C1892"/>
    <mergeCell ref="B1893:C1893"/>
    <mergeCell ref="A1906:C1906"/>
    <mergeCell ref="A1907:C1907"/>
    <mergeCell ref="B1908:C1908"/>
    <mergeCell ref="B1909:C1909"/>
    <mergeCell ref="B1910:C1910"/>
    <mergeCell ref="B1911:C1911"/>
    <mergeCell ref="B1900:C1900"/>
    <mergeCell ref="B1901:C1901"/>
    <mergeCell ref="A1902:C1902"/>
    <mergeCell ref="B1903:C1903"/>
    <mergeCell ref="B1904:C1904"/>
    <mergeCell ref="B1905:C1905"/>
    <mergeCell ref="A1918:C1918"/>
    <mergeCell ref="B1919:C1919"/>
    <mergeCell ref="B1920:C1920"/>
    <mergeCell ref="B1921:C1921"/>
    <mergeCell ref="B1922:C1922"/>
    <mergeCell ref="A1923:C1923"/>
    <mergeCell ref="B1912:C1912"/>
    <mergeCell ref="B1913:C1913"/>
    <mergeCell ref="B1914:C1914"/>
    <mergeCell ref="B1915:C1915"/>
    <mergeCell ref="B1916:C1916"/>
    <mergeCell ref="B1917:C1917"/>
    <mergeCell ref="B1930:C1930"/>
    <mergeCell ref="A1931:C1931"/>
    <mergeCell ref="A1932:C1932"/>
    <mergeCell ref="A1938:B1938"/>
    <mergeCell ref="A1944:B1944"/>
    <mergeCell ref="A1949:B1949"/>
    <mergeCell ref="B1924:C1924"/>
    <mergeCell ref="B1925:C1925"/>
    <mergeCell ref="B1926:C1926"/>
    <mergeCell ref="B1927:C1927"/>
    <mergeCell ref="B1928:C1928"/>
    <mergeCell ref="B1929:C1929"/>
    <mergeCell ref="A1995:B1995"/>
    <mergeCell ref="A2004:B2004"/>
    <mergeCell ref="A2021:B2021"/>
    <mergeCell ref="A2066:B2066"/>
    <mergeCell ref="A2070:B2070"/>
    <mergeCell ref="A2073:B2073"/>
    <mergeCell ref="A1954:B1954"/>
    <mergeCell ref="A1962:B1962"/>
    <mergeCell ref="A1967:B1967"/>
    <mergeCell ref="A1978:B1978"/>
    <mergeCell ref="A1979:B1979"/>
    <mergeCell ref="A1980:B1980"/>
    <mergeCell ref="A2114:B2114"/>
    <mergeCell ref="A2115:B2115"/>
    <mergeCell ref="A2126:B2126"/>
    <mergeCell ref="A2127:B2127"/>
    <mergeCell ref="A2138:B2138"/>
    <mergeCell ref="A2139:B2139"/>
    <mergeCell ref="A2078:B2078"/>
    <mergeCell ref="A2097:B2097"/>
    <mergeCell ref="A2098:B2098"/>
    <mergeCell ref="A2099:B2099"/>
    <mergeCell ref="A2100:B2100"/>
    <mergeCell ref="A2103:B2103"/>
    <mergeCell ref="A2167:B2167"/>
    <mergeCell ref="A2168:B2168"/>
    <mergeCell ref="A2173:B2173"/>
    <mergeCell ref="A2186:B2186"/>
    <mergeCell ref="A2189:B2189"/>
    <mergeCell ref="A2199:B2199"/>
    <mergeCell ref="A2140:B2140"/>
    <mergeCell ref="A2141:B2141"/>
    <mergeCell ref="A2152:B2152"/>
    <mergeCell ref="A2155:B2155"/>
    <mergeCell ref="A2161:B2161"/>
    <mergeCell ref="A2166:B2166"/>
    <mergeCell ref="A2238:B2238"/>
    <mergeCell ref="A2240:B2240"/>
    <mergeCell ref="A2248:B2248"/>
    <mergeCell ref="A2256:B2256"/>
    <mergeCell ref="A2258:B2258"/>
    <mergeCell ref="B2274:C2274"/>
    <mergeCell ref="A2203:B2203"/>
    <mergeCell ref="A2208:B2208"/>
    <mergeCell ref="A2215:B2215"/>
    <mergeCell ref="A2231:B2231"/>
    <mergeCell ref="A2235:B2235"/>
    <mergeCell ref="A2237:B2237"/>
    <mergeCell ref="B2281:C2281"/>
    <mergeCell ref="B2282:C2282"/>
    <mergeCell ref="B2283:C2283"/>
    <mergeCell ref="B2284:C2284"/>
    <mergeCell ref="B2285:C2285"/>
    <mergeCell ref="B2286:C2286"/>
    <mergeCell ref="B2275:C2275"/>
    <mergeCell ref="B2276:C2276"/>
    <mergeCell ref="B2277:C2277"/>
    <mergeCell ref="B2278:C2278"/>
    <mergeCell ref="B2279:C2279"/>
    <mergeCell ref="B2280:C2280"/>
    <mergeCell ref="B2293:C2293"/>
    <mergeCell ref="B2294:C2294"/>
    <mergeCell ref="A2295:C2295"/>
    <mergeCell ref="B2296:C2296"/>
    <mergeCell ref="B2297:C2297"/>
    <mergeCell ref="B2298:C2298"/>
    <mergeCell ref="B2287:C2287"/>
    <mergeCell ref="B2288:C2288"/>
    <mergeCell ref="B2289:C2289"/>
    <mergeCell ref="A2290:C2290"/>
    <mergeCell ref="B2291:C2291"/>
    <mergeCell ref="B2292:C2292"/>
    <mergeCell ref="B2305:C2305"/>
    <mergeCell ref="B2306:C2306"/>
    <mergeCell ref="B2307:C2307"/>
    <mergeCell ref="B2308:C2308"/>
    <mergeCell ref="B2309:C2309"/>
    <mergeCell ref="B2310:C2310"/>
    <mergeCell ref="B2299:C2299"/>
    <mergeCell ref="B2300:C2300"/>
    <mergeCell ref="B2301:C2301"/>
    <mergeCell ref="B2302:C2302"/>
    <mergeCell ref="B2303:C2303"/>
    <mergeCell ref="B2304:C2304"/>
    <mergeCell ref="B2317:C2317"/>
    <mergeCell ref="A2318:B2318"/>
    <mergeCell ref="A2324:B2324"/>
    <mergeCell ref="A2332:B2332"/>
    <mergeCell ref="A2336:B2336"/>
    <mergeCell ref="A2339:B2339"/>
    <mergeCell ref="B2311:C2311"/>
    <mergeCell ref="B2312:C2312"/>
    <mergeCell ref="B2313:C2313"/>
    <mergeCell ref="B2314:C2314"/>
    <mergeCell ref="B2315:C2315"/>
    <mergeCell ref="B2316:C2316"/>
    <mergeCell ref="A2353:B2353"/>
    <mergeCell ref="A2355:B2355"/>
    <mergeCell ref="A2359:B2359"/>
    <mergeCell ref="A2373:B2373"/>
    <mergeCell ref="A2340:B2340"/>
    <mergeCell ref="A2343:B2343"/>
    <mergeCell ref="A2345:B2345"/>
    <mergeCell ref="A2347:B2347"/>
    <mergeCell ref="A2349:B2349"/>
    <mergeCell ref="A2351:B2351"/>
  </mergeCells>
  <hyperlinks>
    <hyperlink ref="A63" location="sub_1111" display="sub_1111"/>
    <hyperlink ref="A518" location="sub_2222" display="sub_2222"/>
    <hyperlink ref="A652" location="sub_3333" display="sub_3333"/>
    <hyperlink ref="A2138" location="sub_4444" display="sub_4444"/>
  </hyperlinks>
  <pageMargins left="0.7" right="0.7" top="0.75" bottom="0.75" header="0.3" footer="0.3"/>
  <pageSetup paperSize="9"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75"/>
  <sheetViews>
    <sheetView topLeftCell="A52" workbookViewId="0">
      <selection activeCell="P74" sqref="P74"/>
    </sheetView>
  </sheetViews>
  <sheetFormatPr defaultRowHeight="12.75" x14ac:dyDescent="0.2"/>
  <cols>
    <col min="1" max="1" width="4.28515625" customWidth="1"/>
    <col min="2" max="2" width="47.5703125" customWidth="1"/>
    <col min="3" max="3" width="6.140625" customWidth="1"/>
    <col min="4" max="4" width="14.28515625" customWidth="1"/>
    <col min="5" max="5" width="10.140625" customWidth="1"/>
    <col min="6" max="6" width="11.7109375" customWidth="1"/>
  </cols>
  <sheetData>
    <row r="1" spans="1:7" s="24" customFormat="1" ht="15" x14ac:dyDescent="0.2">
      <c r="B1" s="142" t="s">
        <v>125</v>
      </c>
      <c r="C1" s="142"/>
      <c r="D1" s="142"/>
      <c r="E1" s="80"/>
      <c r="F1" s="80"/>
    </row>
    <row r="2" spans="1:7" s="24" customFormat="1" ht="15" x14ac:dyDescent="0.2">
      <c r="B2" s="80" t="s">
        <v>124</v>
      </c>
      <c r="C2" s="80"/>
      <c r="D2" s="80"/>
      <c r="E2" s="80"/>
      <c r="F2" s="80"/>
    </row>
    <row r="3" spans="1:7" s="24" customFormat="1" ht="15" x14ac:dyDescent="0.2"/>
    <row r="4" spans="1:7" s="24" customFormat="1" ht="15" x14ac:dyDescent="0.2"/>
    <row r="5" spans="1:7" s="24" customFormat="1" ht="15" x14ac:dyDescent="0.2"/>
    <row r="6" spans="1:7" ht="15.75" x14ac:dyDescent="0.25">
      <c r="A6" s="10"/>
      <c r="B6" s="10"/>
      <c r="C6" s="10"/>
      <c r="D6" s="10"/>
      <c r="E6" s="10"/>
    </row>
    <row r="7" spans="1:7" ht="43.9" customHeight="1" x14ac:dyDescent="0.2">
      <c r="A7" s="11"/>
      <c r="B7" s="787" t="s">
        <v>3749</v>
      </c>
      <c r="C7" s="787"/>
      <c r="D7" s="787"/>
      <c r="E7" s="787"/>
      <c r="F7" s="787"/>
      <c r="G7" s="25"/>
    </row>
    <row r="8" spans="1:7" x14ac:dyDescent="0.2">
      <c r="A8" s="12"/>
      <c r="B8" s="12"/>
      <c r="C8" s="12"/>
      <c r="D8" s="12"/>
      <c r="E8" s="12"/>
    </row>
    <row r="9" spans="1:7" s="53" customFormat="1" ht="43.15" customHeight="1" x14ac:dyDescent="0.2">
      <c r="A9" s="170" t="s">
        <v>122</v>
      </c>
      <c r="B9" s="170" t="s">
        <v>121</v>
      </c>
      <c r="C9" s="170" t="s">
        <v>3735</v>
      </c>
      <c r="D9" s="170" t="s">
        <v>3738</v>
      </c>
      <c r="E9" s="170" t="s">
        <v>3734</v>
      </c>
      <c r="F9" s="171" t="s">
        <v>3736</v>
      </c>
    </row>
    <row r="10" spans="1:7" ht="24.6" customHeight="1" x14ac:dyDescent="0.2">
      <c r="A10" s="861" t="s">
        <v>549</v>
      </c>
      <c r="B10" s="862"/>
      <c r="C10" s="862"/>
      <c r="D10" s="862"/>
      <c r="E10" s="862"/>
      <c r="F10" s="863"/>
    </row>
    <row r="11" spans="1:7" ht="17.45" customHeight="1" x14ac:dyDescent="0.2">
      <c r="A11" s="71">
        <v>1</v>
      </c>
      <c r="B11" s="71" t="s">
        <v>551</v>
      </c>
      <c r="C11" s="71"/>
      <c r="D11" s="70">
        <v>17100</v>
      </c>
      <c r="E11" s="76">
        <f>C11*(1/D11)</f>
        <v>0</v>
      </c>
      <c r="F11" s="77">
        <f t="shared" ref="F11:F46" si="0">E11/26</f>
        <v>0</v>
      </c>
    </row>
    <row r="12" spans="1:7" ht="17.45" customHeight="1" x14ac:dyDescent="0.2">
      <c r="A12" s="71">
        <v>2</v>
      </c>
      <c r="B12" s="71" t="s">
        <v>334</v>
      </c>
      <c r="C12" s="71"/>
      <c r="D12" s="70">
        <v>81</v>
      </c>
      <c r="E12" s="76">
        <f t="shared" ref="E12:E46" si="1">C12*(1/D12)</f>
        <v>0</v>
      </c>
      <c r="F12" s="77">
        <f t="shared" si="0"/>
        <v>0</v>
      </c>
    </row>
    <row r="13" spans="1:7" ht="17.45" customHeight="1" x14ac:dyDescent="0.2">
      <c r="A13" s="71">
        <v>3</v>
      </c>
      <c r="B13" s="71" t="s">
        <v>554</v>
      </c>
      <c r="C13" s="71"/>
      <c r="D13" s="70">
        <v>973</v>
      </c>
      <c r="E13" s="76">
        <f t="shared" si="1"/>
        <v>0</v>
      </c>
      <c r="F13" s="77">
        <f t="shared" si="0"/>
        <v>0</v>
      </c>
    </row>
    <row r="14" spans="1:7" ht="17.45" customHeight="1" x14ac:dyDescent="0.2">
      <c r="A14" s="71">
        <v>4</v>
      </c>
      <c r="B14" s="71" t="s">
        <v>556</v>
      </c>
      <c r="C14" s="71"/>
      <c r="D14" s="70">
        <v>1050</v>
      </c>
      <c r="E14" s="76">
        <f t="shared" si="1"/>
        <v>0</v>
      </c>
      <c r="F14" s="77">
        <f t="shared" si="0"/>
        <v>0</v>
      </c>
    </row>
    <row r="15" spans="1:7" ht="17.45" customHeight="1" x14ac:dyDescent="0.2">
      <c r="A15" s="71">
        <v>5</v>
      </c>
      <c r="B15" s="71" t="s">
        <v>558</v>
      </c>
      <c r="C15" s="71"/>
      <c r="D15" s="70">
        <v>350</v>
      </c>
      <c r="E15" s="76">
        <f t="shared" si="1"/>
        <v>0</v>
      </c>
      <c r="F15" s="77">
        <f t="shared" si="0"/>
        <v>0</v>
      </c>
    </row>
    <row r="16" spans="1:7" ht="17.45" customHeight="1" x14ac:dyDescent="0.2">
      <c r="A16" s="71">
        <v>6</v>
      </c>
      <c r="B16" s="71" t="s">
        <v>560</v>
      </c>
      <c r="C16" s="71"/>
      <c r="D16" s="70">
        <v>3011</v>
      </c>
      <c r="E16" s="76">
        <f t="shared" si="1"/>
        <v>0</v>
      </c>
      <c r="F16" s="77">
        <f t="shared" si="0"/>
        <v>0</v>
      </c>
    </row>
    <row r="17" spans="1:6" ht="17.45" customHeight="1" x14ac:dyDescent="0.2">
      <c r="A17" s="861" t="s">
        <v>648</v>
      </c>
      <c r="B17" s="862"/>
      <c r="C17" s="862"/>
      <c r="D17" s="862"/>
      <c r="E17" s="862"/>
      <c r="F17" s="863"/>
    </row>
    <row r="18" spans="1:6" ht="17.45" customHeight="1" x14ac:dyDescent="0.2">
      <c r="A18" s="71">
        <v>1</v>
      </c>
      <c r="B18" s="71" t="s">
        <v>650</v>
      </c>
      <c r="C18" s="70"/>
      <c r="D18" s="70">
        <v>160</v>
      </c>
      <c r="E18" s="76">
        <f t="shared" si="1"/>
        <v>0</v>
      </c>
      <c r="F18" s="77">
        <f t="shared" si="0"/>
        <v>0</v>
      </c>
    </row>
    <row r="19" spans="1:6" ht="17.45" customHeight="1" x14ac:dyDescent="0.2">
      <c r="A19" s="71">
        <v>2</v>
      </c>
      <c r="B19" s="71" t="s">
        <v>652</v>
      </c>
      <c r="C19" s="70"/>
      <c r="D19" s="70">
        <v>2839</v>
      </c>
      <c r="E19" s="76">
        <f t="shared" si="1"/>
        <v>0</v>
      </c>
      <c r="F19" s="77">
        <f t="shared" si="0"/>
        <v>0</v>
      </c>
    </row>
    <row r="20" spans="1:6" ht="17.45" customHeight="1" x14ac:dyDescent="0.2">
      <c r="A20" s="71">
        <v>3</v>
      </c>
      <c r="B20" s="71" t="s">
        <v>654</v>
      </c>
      <c r="C20" s="70"/>
      <c r="D20" s="70"/>
      <c r="E20" s="76" t="e">
        <f t="shared" si="1"/>
        <v>#DIV/0!</v>
      </c>
      <c r="F20" s="77" t="e">
        <f t="shared" si="0"/>
        <v>#DIV/0!</v>
      </c>
    </row>
    <row r="21" spans="1:6" ht="17.45" customHeight="1" x14ac:dyDescent="0.2">
      <c r="A21" s="71">
        <v>4</v>
      </c>
      <c r="B21" s="71" t="s">
        <v>656</v>
      </c>
      <c r="C21" s="70"/>
      <c r="D21" s="70">
        <v>240</v>
      </c>
      <c r="E21" s="76">
        <f t="shared" si="1"/>
        <v>0</v>
      </c>
      <c r="F21" s="77">
        <f t="shared" si="0"/>
        <v>0</v>
      </c>
    </row>
    <row r="22" spans="1:6" ht="17.45" customHeight="1" x14ac:dyDescent="0.2">
      <c r="A22" s="71">
        <v>5</v>
      </c>
      <c r="B22" s="71" t="s">
        <v>658</v>
      </c>
      <c r="C22" s="71"/>
      <c r="D22" s="71">
        <v>361</v>
      </c>
      <c r="E22" s="76">
        <f t="shared" si="1"/>
        <v>0</v>
      </c>
      <c r="F22" s="77">
        <f t="shared" si="0"/>
        <v>0</v>
      </c>
    </row>
    <row r="23" spans="1:6" ht="17.45" customHeight="1" x14ac:dyDescent="0.2">
      <c r="A23" s="71">
        <v>6</v>
      </c>
      <c r="B23" s="71" t="s">
        <v>660</v>
      </c>
      <c r="C23" s="70"/>
      <c r="D23" s="70">
        <v>118</v>
      </c>
      <c r="E23" s="76">
        <f t="shared" si="1"/>
        <v>0</v>
      </c>
      <c r="F23" s="77">
        <f t="shared" si="0"/>
        <v>0</v>
      </c>
    </row>
    <row r="24" spans="1:6" ht="17.45" customHeight="1" x14ac:dyDescent="0.2">
      <c r="A24" s="71">
        <v>7</v>
      </c>
      <c r="B24" s="71" t="s">
        <v>662</v>
      </c>
      <c r="C24" s="70"/>
      <c r="D24" s="70">
        <v>43899</v>
      </c>
      <c r="E24" s="76">
        <f t="shared" si="1"/>
        <v>0</v>
      </c>
      <c r="F24" s="77">
        <f t="shared" si="0"/>
        <v>0</v>
      </c>
    </row>
    <row r="25" spans="1:6" ht="17.45" customHeight="1" x14ac:dyDescent="0.2">
      <c r="A25" s="71">
        <v>8</v>
      </c>
      <c r="B25" s="71" t="s">
        <v>664</v>
      </c>
      <c r="C25" s="70"/>
      <c r="D25" s="70">
        <v>274</v>
      </c>
      <c r="E25" s="76">
        <f t="shared" si="1"/>
        <v>0</v>
      </c>
      <c r="F25" s="77">
        <f t="shared" si="0"/>
        <v>0</v>
      </c>
    </row>
    <row r="26" spans="1:6" ht="17.45" customHeight="1" x14ac:dyDescent="0.2">
      <c r="A26" s="71">
        <v>9</v>
      </c>
      <c r="B26" s="71" t="s">
        <v>666</v>
      </c>
      <c r="C26" s="70"/>
      <c r="D26" s="70">
        <v>785</v>
      </c>
      <c r="E26" s="76">
        <f t="shared" si="1"/>
        <v>0</v>
      </c>
      <c r="F26" s="77">
        <f t="shared" si="0"/>
        <v>0</v>
      </c>
    </row>
    <row r="27" spans="1:6" ht="17.45" customHeight="1" x14ac:dyDescent="0.2">
      <c r="A27" s="71">
        <v>10</v>
      </c>
      <c r="B27" s="71" t="s">
        <v>668</v>
      </c>
      <c r="C27" s="70"/>
      <c r="D27" s="70"/>
      <c r="E27" s="76" t="e">
        <f t="shared" si="1"/>
        <v>#DIV/0!</v>
      </c>
      <c r="F27" s="77" t="e">
        <f t="shared" si="0"/>
        <v>#DIV/0!</v>
      </c>
    </row>
    <row r="28" spans="1:6" ht="17.45" customHeight="1" x14ac:dyDescent="0.2">
      <c r="A28" s="71">
        <v>11</v>
      </c>
      <c r="B28" s="71" t="s">
        <v>670</v>
      </c>
      <c r="C28" s="70"/>
      <c r="D28" s="70">
        <v>17297</v>
      </c>
      <c r="E28" s="76">
        <f t="shared" si="1"/>
        <v>0</v>
      </c>
      <c r="F28" s="77">
        <f t="shared" si="0"/>
        <v>0</v>
      </c>
    </row>
    <row r="29" spans="1:6" ht="17.45" customHeight="1" x14ac:dyDescent="0.2">
      <c r="A29" s="71">
        <v>12</v>
      </c>
      <c r="B29" s="71" t="s">
        <v>672</v>
      </c>
      <c r="C29" s="70"/>
      <c r="D29" s="70">
        <v>1510</v>
      </c>
      <c r="E29" s="76">
        <f t="shared" si="1"/>
        <v>0</v>
      </c>
      <c r="F29" s="77">
        <f t="shared" si="0"/>
        <v>0</v>
      </c>
    </row>
    <row r="30" spans="1:6" ht="17.45" customHeight="1" x14ac:dyDescent="0.2">
      <c r="A30" s="71">
        <v>13</v>
      </c>
      <c r="B30" s="71" t="s">
        <v>674</v>
      </c>
      <c r="C30" s="71"/>
      <c r="D30" s="71"/>
      <c r="E30" s="76" t="e">
        <f t="shared" si="1"/>
        <v>#DIV/0!</v>
      </c>
      <c r="F30" s="77" t="e">
        <f t="shared" si="0"/>
        <v>#DIV/0!</v>
      </c>
    </row>
    <row r="31" spans="1:6" ht="17.45" customHeight="1" x14ac:dyDescent="0.2">
      <c r="A31" s="71">
        <v>14</v>
      </c>
      <c r="B31" s="71" t="s">
        <v>676</v>
      </c>
      <c r="C31" s="79"/>
      <c r="D31" s="79">
        <v>1138</v>
      </c>
      <c r="E31" s="76">
        <f t="shared" si="1"/>
        <v>0</v>
      </c>
      <c r="F31" s="77">
        <f t="shared" si="0"/>
        <v>0</v>
      </c>
    </row>
    <row r="32" spans="1:6" ht="17.45" customHeight="1" x14ac:dyDescent="0.2">
      <c r="A32" s="71">
        <v>15</v>
      </c>
      <c r="B32" s="71" t="s">
        <v>678</v>
      </c>
      <c r="C32" s="79"/>
      <c r="D32" s="79">
        <v>71</v>
      </c>
      <c r="E32" s="76">
        <f t="shared" si="1"/>
        <v>0</v>
      </c>
      <c r="F32" s="77">
        <f t="shared" si="0"/>
        <v>0</v>
      </c>
    </row>
    <row r="33" spans="1:6" ht="17.45" customHeight="1" x14ac:dyDescent="0.2">
      <c r="A33" s="71">
        <v>16</v>
      </c>
      <c r="B33" s="71" t="s">
        <v>680</v>
      </c>
      <c r="C33" s="79"/>
      <c r="D33" s="79">
        <v>274</v>
      </c>
      <c r="E33" s="76">
        <f t="shared" si="1"/>
        <v>0</v>
      </c>
      <c r="F33" s="77">
        <f t="shared" si="0"/>
        <v>0</v>
      </c>
    </row>
    <row r="34" spans="1:6" ht="17.45" customHeight="1" x14ac:dyDescent="0.2">
      <c r="A34" s="71">
        <v>17</v>
      </c>
      <c r="B34" s="71" t="s">
        <v>682</v>
      </c>
      <c r="C34" s="71"/>
      <c r="D34" s="71">
        <v>272</v>
      </c>
      <c r="E34" s="76">
        <f t="shared" si="1"/>
        <v>0</v>
      </c>
      <c r="F34" s="77">
        <f t="shared" si="0"/>
        <v>0</v>
      </c>
    </row>
    <row r="35" spans="1:6" ht="17.45" customHeight="1" x14ac:dyDescent="0.2">
      <c r="A35" s="71">
        <v>18</v>
      </c>
      <c r="B35" s="71" t="s">
        <v>684</v>
      </c>
      <c r="C35" s="79"/>
      <c r="D35" s="79">
        <v>1354</v>
      </c>
      <c r="E35" s="76">
        <f t="shared" si="1"/>
        <v>0</v>
      </c>
      <c r="F35" s="77">
        <f t="shared" si="0"/>
        <v>0</v>
      </c>
    </row>
    <row r="36" spans="1:6" ht="17.45" customHeight="1" x14ac:dyDescent="0.2">
      <c r="A36" s="71">
        <v>19</v>
      </c>
      <c r="B36" s="71" t="s">
        <v>686</v>
      </c>
      <c r="C36" s="79"/>
      <c r="D36" s="79">
        <v>782</v>
      </c>
      <c r="E36" s="76">
        <f t="shared" si="1"/>
        <v>0</v>
      </c>
      <c r="F36" s="77">
        <f t="shared" si="0"/>
        <v>0</v>
      </c>
    </row>
    <row r="37" spans="1:6" ht="17.45" customHeight="1" x14ac:dyDescent="0.2">
      <c r="A37" s="71">
        <v>20</v>
      </c>
      <c r="B37" s="71" t="s">
        <v>688</v>
      </c>
      <c r="C37" s="81"/>
      <c r="D37" s="81">
        <v>345</v>
      </c>
      <c r="E37" s="76">
        <f t="shared" si="1"/>
        <v>0</v>
      </c>
      <c r="F37" s="77">
        <f t="shared" si="0"/>
        <v>0</v>
      </c>
    </row>
    <row r="38" spans="1:6" ht="17.45" customHeight="1" x14ac:dyDescent="0.2">
      <c r="A38" s="71">
        <v>21</v>
      </c>
      <c r="B38" s="71" t="s">
        <v>690</v>
      </c>
      <c r="C38" s="81"/>
      <c r="D38" s="81">
        <v>1345.5</v>
      </c>
      <c r="E38" s="76">
        <f t="shared" si="1"/>
        <v>0</v>
      </c>
      <c r="F38" s="77">
        <f t="shared" si="0"/>
        <v>0</v>
      </c>
    </row>
    <row r="39" spans="1:6" ht="17.45" customHeight="1" x14ac:dyDescent="0.2">
      <c r="A39" s="71">
        <v>22</v>
      </c>
      <c r="B39" s="71" t="s">
        <v>692</v>
      </c>
      <c r="C39" s="81"/>
      <c r="D39" s="81">
        <v>310</v>
      </c>
      <c r="E39" s="76">
        <f t="shared" si="1"/>
        <v>0</v>
      </c>
      <c r="F39" s="77">
        <f t="shared" si="0"/>
        <v>0</v>
      </c>
    </row>
    <row r="40" spans="1:6" ht="17.45" customHeight="1" x14ac:dyDescent="0.2">
      <c r="A40" s="71">
        <v>23</v>
      </c>
      <c r="B40" s="71" t="s">
        <v>694</v>
      </c>
      <c r="C40" s="81"/>
      <c r="D40" s="81"/>
      <c r="E40" s="76" t="e">
        <f t="shared" si="1"/>
        <v>#DIV/0!</v>
      </c>
      <c r="F40" s="77" t="e">
        <f t="shared" si="0"/>
        <v>#DIV/0!</v>
      </c>
    </row>
    <row r="41" spans="1:6" ht="17.45" customHeight="1" x14ac:dyDescent="0.2">
      <c r="A41" s="71">
        <v>24</v>
      </c>
      <c r="B41" s="71" t="s">
        <v>696</v>
      </c>
      <c r="C41" s="81"/>
      <c r="D41" s="81">
        <v>600</v>
      </c>
      <c r="E41" s="76">
        <f t="shared" si="1"/>
        <v>0</v>
      </c>
      <c r="F41" s="77">
        <f t="shared" si="0"/>
        <v>0</v>
      </c>
    </row>
    <row r="42" spans="1:6" ht="17.45" customHeight="1" x14ac:dyDescent="0.2">
      <c r="A42" s="71">
        <v>25</v>
      </c>
      <c r="B42" s="71" t="s">
        <v>698</v>
      </c>
      <c r="C42" s="81"/>
      <c r="D42" s="81">
        <v>150</v>
      </c>
      <c r="E42" s="76">
        <f t="shared" si="1"/>
        <v>0</v>
      </c>
      <c r="F42" s="77">
        <f t="shared" si="0"/>
        <v>0</v>
      </c>
    </row>
    <row r="43" spans="1:6" ht="17.45" customHeight="1" x14ac:dyDescent="0.2">
      <c r="A43" s="71">
        <v>26</v>
      </c>
      <c r="B43" s="71" t="s">
        <v>700</v>
      </c>
      <c r="C43" s="81"/>
      <c r="D43" s="81">
        <v>100</v>
      </c>
      <c r="E43" s="76">
        <f t="shared" si="1"/>
        <v>0</v>
      </c>
      <c r="F43" s="77">
        <f t="shared" si="0"/>
        <v>0</v>
      </c>
    </row>
    <row r="44" spans="1:6" ht="17.45" customHeight="1" x14ac:dyDescent="0.2">
      <c r="A44" s="71">
        <v>27</v>
      </c>
      <c r="B44" s="71" t="s">
        <v>702</v>
      </c>
      <c r="C44" s="81"/>
      <c r="D44" s="81">
        <v>9554</v>
      </c>
      <c r="E44" s="76">
        <f t="shared" si="1"/>
        <v>0</v>
      </c>
      <c r="F44" s="77">
        <f t="shared" si="0"/>
        <v>0</v>
      </c>
    </row>
    <row r="45" spans="1:6" ht="17.45" customHeight="1" x14ac:dyDescent="0.2">
      <c r="A45" s="71">
        <v>28</v>
      </c>
      <c r="B45" s="71" t="s">
        <v>704</v>
      </c>
      <c r="C45" s="81"/>
      <c r="D45" s="81">
        <v>80</v>
      </c>
      <c r="E45" s="76">
        <f t="shared" si="1"/>
        <v>0</v>
      </c>
      <c r="F45" s="77">
        <f t="shared" si="0"/>
        <v>0</v>
      </c>
    </row>
    <row r="46" spans="1:6" ht="17.45" customHeight="1" x14ac:dyDescent="0.2">
      <c r="A46" s="71">
        <v>29</v>
      </c>
      <c r="B46" s="71" t="s">
        <v>706</v>
      </c>
      <c r="C46" s="81"/>
      <c r="D46" s="81">
        <v>3011</v>
      </c>
      <c r="E46" s="76">
        <f t="shared" si="1"/>
        <v>0</v>
      </c>
      <c r="F46" s="77">
        <f t="shared" si="0"/>
        <v>0</v>
      </c>
    </row>
    <row r="47" spans="1:6" ht="17.45" customHeight="1" x14ac:dyDescent="0.2">
      <c r="A47" s="861" t="s">
        <v>722</v>
      </c>
      <c r="B47" s="862"/>
      <c r="C47" s="862"/>
      <c r="D47" s="862"/>
      <c r="E47" s="862"/>
      <c r="F47" s="863"/>
    </row>
    <row r="48" spans="1:6" ht="17.45" customHeight="1" x14ac:dyDescent="0.2">
      <c r="A48" s="71">
        <v>1</v>
      </c>
      <c r="B48" s="71" t="s">
        <v>724</v>
      </c>
      <c r="C48" s="81"/>
      <c r="D48" s="81">
        <v>48000</v>
      </c>
      <c r="E48" s="76">
        <f t="shared" ref="E48:E54" si="2">C48*(1/D48)</f>
        <v>0</v>
      </c>
      <c r="F48" s="77">
        <f t="shared" ref="F48:F54" si="3">E48/26</f>
        <v>0</v>
      </c>
    </row>
    <row r="49" spans="1:6" ht="17.45" customHeight="1" x14ac:dyDescent="0.2">
      <c r="A49" s="71">
        <v>2</v>
      </c>
      <c r="B49" s="71" t="s">
        <v>726</v>
      </c>
      <c r="C49" s="81"/>
      <c r="D49" s="81">
        <v>4910</v>
      </c>
      <c r="E49" s="76">
        <f t="shared" si="2"/>
        <v>0</v>
      </c>
      <c r="F49" s="77">
        <f t="shared" si="3"/>
        <v>0</v>
      </c>
    </row>
    <row r="50" spans="1:6" ht="17.45" customHeight="1" x14ac:dyDescent="0.2">
      <c r="A50" s="71">
        <v>3</v>
      </c>
      <c r="B50" s="71" t="s">
        <v>728</v>
      </c>
      <c r="C50" s="81"/>
      <c r="D50" s="81">
        <v>1740</v>
      </c>
      <c r="E50" s="76">
        <f t="shared" si="2"/>
        <v>0</v>
      </c>
      <c r="F50" s="77">
        <f t="shared" si="3"/>
        <v>0</v>
      </c>
    </row>
    <row r="51" spans="1:6" ht="17.45" customHeight="1" x14ac:dyDescent="0.2">
      <c r="A51" s="71">
        <v>4</v>
      </c>
      <c r="B51" s="71" t="s">
        <v>730</v>
      </c>
      <c r="C51" s="81"/>
      <c r="D51" s="81">
        <v>4980.96</v>
      </c>
      <c r="E51" s="76">
        <f t="shared" si="2"/>
        <v>0</v>
      </c>
      <c r="F51" s="77">
        <f t="shared" si="3"/>
        <v>0</v>
      </c>
    </row>
    <row r="52" spans="1:6" ht="17.45" customHeight="1" x14ac:dyDescent="0.2">
      <c r="A52" s="71">
        <v>5</v>
      </c>
      <c r="B52" s="71" t="s">
        <v>732</v>
      </c>
      <c r="C52" s="81"/>
      <c r="D52" s="81">
        <v>3620</v>
      </c>
      <c r="E52" s="76">
        <f t="shared" si="2"/>
        <v>0</v>
      </c>
      <c r="F52" s="77">
        <f t="shared" si="3"/>
        <v>0</v>
      </c>
    </row>
    <row r="53" spans="1:6" ht="17.45" customHeight="1" x14ac:dyDescent="0.2">
      <c r="A53" s="71">
        <v>6</v>
      </c>
      <c r="B53" s="71" t="s">
        <v>556</v>
      </c>
      <c r="C53" s="81"/>
      <c r="D53" s="81">
        <v>3450</v>
      </c>
      <c r="E53" s="76">
        <f t="shared" si="2"/>
        <v>0</v>
      </c>
      <c r="F53" s="77">
        <f t="shared" si="3"/>
        <v>0</v>
      </c>
    </row>
    <row r="54" spans="1:6" ht="17.45" customHeight="1" x14ac:dyDescent="0.2">
      <c r="A54" s="71">
        <v>7</v>
      </c>
      <c r="B54" s="71" t="s">
        <v>735</v>
      </c>
      <c r="C54" s="81"/>
      <c r="D54" s="81">
        <v>290</v>
      </c>
      <c r="E54" s="76">
        <f t="shared" si="2"/>
        <v>0</v>
      </c>
      <c r="F54" s="77">
        <f t="shared" si="3"/>
        <v>0</v>
      </c>
    </row>
    <row r="55" spans="1:6" ht="17.45" customHeight="1" x14ac:dyDescent="0.2">
      <c r="A55" s="861" t="s">
        <v>918</v>
      </c>
      <c r="B55" s="862"/>
      <c r="C55" s="862"/>
      <c r="D55" s="862"/>
      <c r="E55" s="862"/>
      <c r="F55" s="863"/>
    </row>
    <row r="56" spans="1:6" ht="17.45" customHeight="1" x14ac:dyDescent="0.2">
      <c r="A56" s="71">
        <v>1</v>
      </c>
      <c r="B56" s="71" t="s">
        <v>920</v>
      </c>
      <c r="C56" s="81"/>
      <c r="D56" s="81">
        <v>800</v>
      </c>
      <c r="E56" s="76">
        <f t="shared" ref="E56:E58" si="4">C56*(1/D56)</f>
        <v>0</v>
      </c>
      <c r="F56" s="77">
        <f t="shared" ref="F56:F58" si="5">E56/26</f>
        <v>0</v>
      </c>
    </row>
    <row r="57" spans="1:6" ht="17.45" customHeight="1" x14ac:dyDescent="0.2">
      <c r="A57" s="71">
        <v>2</v>
      </c>
      <c r="B57" s="71" t="s">
        <v>922</v>
      </c>
      <c r="C57" s="81"/>
      <c r="D57" s="81">
        <v>650</v>
      </c>
      <c r="E57" s="76">
        <f t="shared" si="4"/>
        <v>0</v>
      </c>
      <c r="F57" s="77">
        <f t="shared" si="5"/>
        <v>0</v>
      </c>
    </row>
    <row r="58" spans="1:6" ht="17.45" customHeight="1" x14ac:dyDescent="0.2">
      <c r="A58" s="71">
        <v>3</v>
      </c>
      <c r="B58" s="71" t="s">
        <v>924</v>
      </c>
      <c r="C58" s="81"/>
      <c r="D58" s="81">
        <v>1900</v>
      </c>
      <c r="E58" s="76">
        <f t="shared" si="4"/>
        <v>0</v>
      </c>
      <c r="F58" s="77">
        <f t="shared" si="5"/>
        <v>0</v>
      </c>
    </row>
    <row r="59" spans="1:6" ht="17.45" customHeight="1" x14ac:dyDescent="0.2">
      <c r="A59" s="861" t="s">
        <v>299</v>
      </c>
      <c r="B59" s="862"/>
      <c r="C59" s="862"/>
      <c r="D59" s="862"/>
      <c r="E59" s="862"/>
      <c r="F59" s="863"/>
    </row>
    <row r="60" spans="1:6" ht="17.45" customHeight="1" x14ac:dyDescent="0.2">
      <c r="A60" s="71">
        <v>1</v>
      </c>
      <c r="B60" s="71" t="s">
        <v>301</v>
      </c>
      <c r="C60" s="81"/>
      <c r="D60" s="81">
        <v>2868</v>
      </c>
      <c r="E60" s="76">
        <f t="shared" ref="E60:E73" si="6">C60*(1/D60)</f>
        <v>0</v>
      </c>
      <c r="F60" s="77">
        <f t="shared" ref="F60:F73" si="7">E60/26</f>
        <v>0</v>
      </c>
    </row>
    <row r="61" spans="1:6" ht="17.45" customHeight="1" x14ac:dyDescent="0.2">
      <c r="A61" s="71">
        <v>2</v>
      </c>
      <c r="B61" s="71" t="s">
        <v>303</v>
      </c>
      <c r="C61" s="81"/>
      <c r="D61" s="81">
        <v>1739</v>
      </c>
      <c r="E61" s="76">
        <f t="shared" si="6"/>
        <v>0</v>
      </c>
      <c r="F61" s="77">
        <f t="shared" si="7"/>
        <v>0</v>
      </c>
    </row>
    <row r="62" spans="1:6" ht="17.45" customHeight="1" x14ac:dyDescent="0.2">
      <c r="A62" s="71">
        <v>3</v>
      </c>
      <c r="B62" s="71" t="s">
        <v>305</v>
      </c>
      <c r="C62" s="81"/>
      <c r="D62" s="81">
        <v>3507</v>
      </c>
      <c r="E62" s="76">
        <f t="shared" si="6"/>
        <v>0</v>
      </c>
      <c r="F62" s="77">
        <f t="shared" si="7"/>
        <v>0</v>
      </c>
    </row>
    <row r="63" spans="1:6" ht="17.45" customHeight="1" x14ac:dyDescent="0.2">
      <c r="A63" s="71">
        <v>4</v>
      </c>
      <c r="B63" s="71" t="s">
        <v>307</v>
      </c>
      <c r="C63" s="81"/>
      <c r="D63" s="81">
        <v>5490</v>
      </c>
      <c r="E63" s="76">
        <f t="shared" si="6"/>
        <v>0</v>
      </c>
      <c r="F63" s="77">
        <f t="shared" si="7"/>
        <v>0</v>
      </c>
    </row>
    <row r="64" spans="1:6" ht="17.45" customHeight="1" x14ac:dyDescent="0.2">
      <c r="A64" s="71">
        <v>5</v>
      </c>
      <c r="B64" s="71" t="s">
        <v>309</v>
      </c>
      <c r="C64" s="81"/>
      <c r="D64" s="81">
        <v>15770</v>
      </c>
      <c r="E64" s="76">
        <f t="shared" si="6"/>
        <v>0</v>
      </c>
      <c r="F64" s="77">
        <f t="shared" si="7"/>
        <v>0</v>
      </c>
    </row>
    <row r="65" spans="1:6" ht="17.45" customHeight="1" x14ac:dyDescent="0.2">
      <c r="A65" s="71">
        <v>6</v>
      </c>
      <c r="B65" s="71" t="s">
        <v>311</v>
      </c>
      <c r="C65" s="81"/>
      <c r="D65" s="81">
        <v>5988</v>
      </c>
      <c r="E65" s="76">
        <f t="shared" si="6"/>
        <v>0</v>
      </c>
      <c r="F65" s="77">
        <f t="shared" si="7"/>
        <v>0</v>
      </c>
    </row>
    <row r="66" spans="1:6" ht="17.45" customHeight="1" x14ac:dyDescent="0.2">
      <c r="A66" s="71">
        <v>7</v>
      </c>
      <c r="B66" s="71" t="s">
        <v>313</v>
      </c>
      <c r="C66" s="81"/>
      <c r="D66" s="81">
        <v>2303</v>
      </c>
      <c r="E66" s="76">
        <f t="shared" si="6"/>
        <v>0</v>
      </c>
      <c r="F66" s="77">
        <f t="shared" si="7"/>
        <v>0</v>
      </c>
    </row>
    <row r="67" spans="1:6" ht="17.45" customHeight="1" x14ac:dyDescent="0.2">
      <c r="A67" s="71">
        <v>8</v>
      </c>
      <c r="B67" s="71" t="s">
        <v>315</v>
      </c>
      <c r="C67" s="81"/>
      <c r="D67" s="81">
        <v>3298</v>
      </c>
      <c r="E67" s="76">
        <f t="shared" si="6"/>
        <v>0</v>
      </c>
      <c r="F67" s="77">
        <f t="shared" si="7"/>
        <v>0</v>
      </c>
    </row>
    <row r="68" spans="1:6" ht="17.45" customHeight="1" x14ac:dyDescent="0.2">
      <c r="A68" s="71">
        <v>9</v>
      </c>
      <c r="B68" s="71" t="s">
        <v>317</v>
      </c>
      <c r="C68" s="81"/>
      <c r="D68" s="81">
        <v>1292</v>
      </c>
      <c r="E68" s="76">
        <f t="shared" si="6"/>
        <v>0</v>
      </c>
      <c r="F68" s="77">
        <f t="shared" si="7"/>
        <v>0</v>
      </c>
    </row>
    <row r="69" spans="1:6" ht="17.45" customHeight="1" x14ac:dyDescent="0.2">
      <c r="A69" s="71">
        <v>10</v>
      </c>
      <c r="B69" s="71" t="s">
        <v>319</v>
      </c>
      <c r="C69" s="81"/>
      <c r="D69" s="81">
        <v>910</v>
      </c>
      <c r="E69" s="76">
        <f t="shared" si="6"/>
        <v>0</v>
      </c>
      <c r="F69" s="77">
        <f t="shared" si="7"/>
        <v>0</v>
      </c>
    </row>
    <row r="70" spans="1:6" ht="17.45" customHeight="1" x14ac:dyDescent="0.2">
      <c r="A70" s="71">
        <v>11</v>
      </c>
      <c r="B70" s="71" t="s">
        <v>321</v>
      </c>
      <c r="C70" s="81"/>
      <c r="D70" s="81">
        <v>1427</v>
      </c>
      <c r="E70" s="76">
        <f t="shared" si="6"/>
        <v>0</v>
      </c>
      <c r="F70" s="77">
        <f t="shared" si="7"/>
        <v>0</v>
      </c>
    </row>
    <row r="71" spans="1:6" ht="17.45" customHeight="1" x14ac:dyDescent="0.2">
      <c r="A71" s="71">
        <v>12</v>
      </c>
      <c r="B71" s="71" t="s">
        <v>323</v>
      </c>
      <c r="C71" s="81"/>
      <c r="D71" s="81">
        <v>3830</v>
      </c>
      <c r="E71" s="76">
        <f t="shared" si="6"/>
        <v>0</v>
      </c>
      <c r="F71" s="77">
        <f t="shared" si="7"/>
        <v>0</v>
      </c>
    </row>
    <row r="72" spans="1:6" ht="17.45" customHeight="1" x14ac:dyDescent="0.2">
      <c r="A72" s="71">
        <v>13</v>
      </c>
      <c r="B72" s="71" t="s">
        <v>325</v>
      </c>
      <c r="C72" s="81"/>
      <c r="D72" s="81"/>
      <c r="E72" s="76" t="e">
        <f t="shared" si="6"/>
        <v>#DIV/0!</v>
      </c>
      <c r="F72" s="77" t="e">
        <f t="shared" si="7"/>
        <v>#DIV/0!</v>
      </c>
    </row>
    <row r="73" spans="1:6" ht="31.9" customHeight="1" x14ac:dyDescent="0.2">
      <c r="A73" s="71">
        <v>14</v>
      </c>
      <c r="B73" s="71" t="s">
        <v>327</v>
      </c>
      <c r="C73" s="81"/>
      <c r="D73" s="81"/>
      <c r="E73" s="76" t="e">
        <f t="shared" si="6"/>
        <v>#DIV/0!</v>
      </c>
      <c r="F73" s="77" t="e">
        <f t="shared" si="7"/>
        <v>#DIV/0!</v>
      </c>
    </row>
    <row r="75" spans="1:6" ht="15" x14ac:dyDescent="0.2">
      <c r="B75" s="791" t="s">
        <v>3847</v>
      </c>
      <c r="C75" s="791"/>
      <c r="D75" s="791"/>
    </row>
  </sheetData>
  <mergeCells count="7">
    <mergeCell ref="B75:D75"/>
    <mergeCell ref="B7:F7"/>
    <mergeCell ref="A10:F10"/>
    <mergeCell ref="A17:F17"/>
    <mergeCell ref="A47:F47"/>
    <mergeCell ref="A55:F55"/>
    <mergeCell ref="A59:F59"/>
  </mergeCells>
  <pageMargins left="0.65" right="0.25" top="0.75" bottom="0.75" header="0.3" footer="0.3"/>
  <pageSetup paperSize="9"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workbookViewId="0">
      <selection activeCell="C19" sqref="C19"/>
    </sheetView>
  </sheetViews>
  <sheetFormatPr defaultRowHeight="12.75" x14ac:dyDescent="0.2"/>
  <cols>
    <col min="1" max="1" width="3.7109375" customWidth="1"/>
    <col min="2" max="2" width="39.5703125" customWidth="1"/>
    <col min="3" max="3" width="24" customWidth="1"/>
    <col min="4" max="4" width="14.85546875" customWidth="1"/>
    <col min="5" max="5" width="13.7109375" customWidth="1"/>
  </cols>
  <sheetData>
    <row r="1" spans="1:4" s="24" customFormat="1" ht="15" x14ac:dyDescent="0.2">
      <c r="B1" s="886" t="s">
        <v>125</v>
      </c>
      <c r="C1" s="886"/>
    </row>
    <row r="2" spans="1:4" s="24" customFormat="1" ht="15" x14ac:dyDescent="0.2">
      <c r="B2" s="801" t="s">
        <v>124</v>
      </c>
      <c r="C2" s="801"/>
    </row>
    <row r="3" spans="1:4" s="24" customFormat="1" ht="15" x14ac:dyDescent="0.2"/>
    <row r="4" spans="1:4" s="24" customFormat="1" ht="15" x14ac:dyDescent="0.2"/>
    <row r="5" spans="1:4" s="24" customFormat="1" ht="15" x14ac:dyDescent="0.2"/>
    <row r="6" spans="1:4" ht="15.75" x14ac:dyDescent="0.25">
      <c r="A6" s="10"/>
      <c r="B6" s="10"/>
    </row>
    <row r="7" spans="1:4" ht="48" customHeight="1" x14ac:dyDescent="0.2">
      <c r="A7" s="11"/>
      <c r="B7" s="787" t="s">
        <v>3887</v>
      </c>
      <c r="C7" s="787"/>
      <c r="D7" s="25"/>
    </row>
    <row r="8" spans="1:4" x14ac:dyDescent="0.2">
      <c r="A8" s="12"/>
      <c r="B8" s="12"/>
    </row>
    <row r="9" spans="1:4" s="53" customFormat="1" ht="31.15" customHeight="1" x14ac:dyDescent="0.2">
      <c r="A9" s="51" t="s">
        <v>122</v>
      </c>
      <c r="B9" s="51" t="s">
        <v>121</v>
      </c>
      <c r="C9" s="52" t="s">
        <v>3888</v>
      </c>
    </row>
    <row r="10" spans="1:4" s="56" customFormat="1" ht="11.25" x14ac:dyDescent="0.2">
      <c r="A10" s="54">
        <v>1</v>
      </c>
      <c r="B10" s="55">
        <v>2</v>
      </c>
      <c r="C10" s="54">
        <v>3</v>
      </c>
    </row>
    <row r="11" spans="1:4" s="59" customFormat="1" ht="24.6" customHeight="1" x14ac:dyDescent="0.2">
      <c r="A11" s="57">
        <v>1</v>
      </c>
      <c r="B11" s="58" t="s">
        <v>3889</v>
      </c>
      <c r="C11" s="60">
        <v>1</v>
      </c>
    </row>
    <row r="12" spans="1:4" s="59" customFormat="1" ht="24.6" customHeight="1" x14ac:dyDescent="0.2">
      <c r="A12" s="57">
        <v>2</v>
      </c>
      <c r="B12" s="58" t="s">
        <v>3890</v>
      </c>
      <c r="C12" s="60">
        <v>1</v>
      </c>
    </row>
    <row r="13" spans="1:4" s="59" customFormat="1" ht="24.6" customHeight="1" x14ac:dyDescent="0.2">
      <c r="A13" s="57">
        <v>3</v>
      </c>
      <c r="B13" s="58" t="s">
        <v>3891</v>
      </c>
      <c r="C13" s="60">
        <v>1</v>
      </c>
    </row>
    <row r="14" spans="1:4" s="59" customFormat="1" ht="24.6" customHeight="1" x14ac:dyDescent="0.2">
      <c r="A14" s="57">
        <v>4</v>
      </c>
      <c r="B14" s="58" t="s">
        <v>3892</v>
      </c>
      <c r="C14" s="60">
        <v>1</v>
      </c>
    </row>
    <row r="15" spans="1:4" s="59" customFormat="1" ht="24.6" customHeight="1" x14ac:dyDescent="0.2">
      <c r="A15" s="57">
        <v>5</v>
      </c>
      <c r="B15" s="58" t="s">
        <v>3893</v>
      </c>
      <c r="C15" s="60">
        <v>1</v>
      </c>
    </row>
    <row r="16" spans="1:4" s="59" customFormat="1" ht="24.6" customHeight="1" x14ac:dyDescent="0.2">
      <c r="A16" s="57">
        <v>6</v>
      </c>
      <c r="B16" s="58" t="s">
        <v>3894</v>
      </c>
      <c r="C16" s="60">
        <v>1</v>
      </c>
    </row>
    <row r="17" spans="1:4" s="59" customFormat="1" ht="24.6" customHeight="1" x14ac:dyDescent="0.2">
      <c r="A17" s="57">
        <v>7</v>
      </c>
      <c r="B17" s="58" t="s">
        <v>3895</v>
      </c>
      <c r="C17" s="60">
        <v>1</v>
      </c>
    </row>
    <row r="18" spans="1:4" s="59" customFormat="1" ht="24.6" customHeight="1" x14ac:dyDescent="0.2">
      <c r="A18" s="57">
        <v>8</v>
      </c>
      <c r="B18" s="135" t="s">
        <v>3898</v>
      </c>
      <c r="C18" s="60">
        <v>1</v>
      </c>
    </row>
    <row r="19" spans="1:4" x14ac:dyDescent="0.2">
      <c r="A19" s="38"/>
      <c r="B19" s="38"/>
      <c r="C19" s="38"/>
    </row>
    <row r="20" spans="1:4" ht="15" x14ac:dyDescent="0.2">
      <c r="B20" s="791" t="s">
        <v>3847</v>
      </c>
      <c r="C20" s="791"/>
      <c r="D20" s="791"/>
    </row>
    <row r="21" spans="1:4" s="23" customFormat="1" ht="17.25" customHeight="1" x14ac:dyDescent="0.2">
      <c r="A21" s="21"/>
    </row>
    <row r="22" spans="1:4" s="23" customFormat="1" ht="18" customHeight="1" x14ac:dyDescent="0.2">
      <c r="A22" s="42"/>
      <c r="B22" s="25"/>
    </row>
    <row r="23" spans="1:4" s="23" customFormat="1" ht="15" x14ac:dyDescent="0.2">
      <c r="A23" s="42"/>
      <c r="B23" s="154"/>
    </row>
    <row r="24" spans="1:4" s="23" customFormat="1" ht="15" x14ac:dyDescent="0.2">
      <c r="A24" s="42"/>
      <c r="B24" s="154"/>
    </row>
    <row r="25" spans="1:4" s="23" customFormat="1" ht="15" x14ac:dyDescent="0.2">
      <c r="A25" s="154"/>
    </row>
    <row r="26" spans="1:4" s="23" customFormat="1" ht="15" x14ac:dyDescent="0.2">
      <c r="A26" s="792"/>
      <c r="B26" s="793"/>
    </row>
    <row r="27" spans="1:4" s="23" customFormat="1" ht="15" customHeight="1" x14ac:dyDescent="0.2">
      <c r="A27" s="788"/>
      <c r="B27" s="788"/>
    </row>
    <row r="28" spans="1:4" s="23" customFormat="1" ht="15" x14ac:dyDescent="0.2">
      <c r="A28" s="788"/>
      <c r="B28" s="788"/>
    </row>
    <row r="29" spans="1:4" s="23" customFormat="1" ht="15" x14ac:dyDescent="0.2">
      <c r="A29" s="788"/>
      <c r="B29" s="788"/>
    </row>
    <row r="30" spans="1:4" s="23" customFormat="1" ht="15" x14ac:dyDescent="0.2">
      <c r="A30" s="154"/>
      <c r="B30" s="154"/>
    </row>
  </sheetData>
  <mergeCells count="8">
    <mergeCell ref="A28:B28"/>
    <mergeCell ref="A29:B29"/>
    <mergeCell ref="B1:C1"/>
    <mergeCell ref="B2:C2"/>
    <mergeCell ref="B7:C7"/>
    <mergeCell ref="B20:D20"/>
    <mergeCell ref="A26:B26"/>
    <mergeCell ref="A27:B27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opLeftCell="A7" workbookViewId="0">
      <selection activeCell="A16" sqref="A16:XFD18"/>
    </sheetView>
  </sheetViews>
  <sheetFormatPr defaultRowHeight="12.75" x14ac:dyDescent="0.2"/>
  <cols>
    <col min="1" max="1" width="3.7109375" customWidth="1"/>
    <col min="2" max="2" width="39.5703125" customWidth="1"/>
    <col min="3" max="3" width="24" customWidth="1"/>
    <col min="4" max="4" width="14.85546875" customWidth="1"/>
    <col min="5" max="5" width="13.7109375" customWidth="1"/>
  </cols>
  <sheetData>
    <row r="1" spans="1:4" s="24" customFormat="1" ht="15" x14ac:dyDescent="0.2">
      <c r="B1" s="886" t="s">
        <v>125</v>
      </c>
      <c r="C1" s="886"/>
    </row>
    <row r="2" spans="1:4" s="24" customFormat="1" ht="15" x14ac:dyDescent="0.2">
      <c r="B2" s="801" t="s">
        <v>124</v>
      </c>
      <c r="C2" s="801"/>
    </row>
    <row r="3" spans="1:4" s="24" customFormat="1" ht="15" x14ac:dyDescent="0.2"/>
    <row r="4" spans="1:4" s="24" customFormat="1" ht="15" x14ac:dyDescent="0.2"/>
    <row r="5" spans="1:4" s="24" customFormat="1" ht="15" x14ac:dyDescent="0.2"/>
    <row r="6" spans="1:4" ht="15.75" x14ac:dyDescent="0.25">
      <c r="A6" s="10"/>
      <c r="B6" s="10"/>
    </row>
    <row r="7" spans="1:4" ht="48" customHeight="1" x14ac:dyDescent="0.2">
      <c r="A7" s="11"/>
      <c r="B7" s="787" t="s">
        <v>3899</v>
      </c>
      <c r="C7" s="787"/>
      <c r="D7" s="25"/>
    </row>
    <row r="8" spans="1:4" x14ac:dyDescent="0.2">
      <c r="A8" s="12"/>
      <c r="B8" s="12"/>
    </row>
    <row r="9" spans="1:4" s="53" customFormat="1" ht="31.15" customHeight="1" x14ac:dyDescent="0.2">
      <c r="A9" s="51" t="s">
        <v>122</v>
      </c>
      <c r="B9" s="51" t="s">
        <v>3900</v>
      </c>
      <c r="C9" s="52" t="s">
        <v>3901</v>
      </c>
    </row>
    <row r="10" spans="1:4" s="56" customFormat="1" ht="11.25" x14ac:dyDescent="0.2">
      <c r="A10" s="54">
        <v>1</v>
      </c>
      <c r="B10" s="55">
        <v>2</v>
      </c>
      <c r="C10" s="54">
        <v>3</v>
      </c>
    </row>
    <row r="11" spans="1:4" s="59" customFormat="1" ht="24.6" customHeight="1" x14ac:dyDescent="0.2">
      <c r="A11" s="57">
        <v>1</v>
      </c>
      <c r="B11" s="58" t="s">
        <v>3921</v>
      </c>
      <c r="C11" s="60">
        <v>2</v>
      </c>
    </row>
    <row r="12" spans="1:4" s="59" customFormat="1" ht="24.6" customHeight="1" x14ac:dyDescent="0.2">
      <c r="A12" s="57">
        <v>2</v>
      </c>
      <c r="B12" s="58" t="s">
        <v>3922</v>
      </c>
      <c r="C12" s="60">
        <v>2</v>
      </c>
    </row>
    <row r="13" spans="1:4" s="59" customFormat="1" ht="24.6" customHeight="1" x14ac:dyDescent="0.2">
      <c r="A13" s="57">
        <v>3</v>
      </c>
      <c r="B13" s="58" t="s">
        <v>3923</v>
      </c>
      <c r="C13" s="60">
        <v>2</v>
      </c>
    </row>
    <row r="14" spans="1:4" s="59" customFormat="1" ht="24.6" customHeight="1" x14ac:dyDescent="0.2">
      <c r="A14" s="57">
        <v>4</v>
      </c>
      <c r="B14" s="58" t="s">
        <v>3926</v>
      </c>
      <c r="C14" s="60">
        <v>2</v>
      </c>
    </row>
    <row r="15" spans="1:4" s="59" customFormat="1" ht="24.6" customHeight="1" x14ac:dyDescent="0.2">
      <c r="A15" s="57">
        <v>5</v>
      </c>
      <c r="B15" s="58" t="s">
        <v>3927</v>
      </c>
      <c r="C15" s="60">
        <v>2</v>
      </c>
    </row>
    <row r="16" spans="1:4" x14ac:dyDescent="0.2">
      <c r="A16" s="38"/>
      <c r="B16" s="38"/>
      <c r="C16" s="38"/>
    </row>
    <row r="17" spans="1:4" ht="15" x14ac:dyDescent="0.2">
      <c r="B17" s="791" t="s">
        <v>3847</v>
      </c>
      <c r="C17" s="791"/>
      <c r="D17" s="791"/>
    </row>
    <row r="18" spans="1:4" s="23" customFormat="1" ht="17.25" customHeight="1" x14ac:dyDescent="0.2">
      <c r="A18" s="21"/>
    </row>
    <row r="19" spans="1:4" s="23" customFormat="1" ht="18" customHeight="1" x14ac:dyDescent="0.2">
      <c r="A19" s="42"/>
      <c r="B19" s="25"/>
    </row>
    <row r="20" spans="1:4" s="23" customFormat="1" ht="15" x14ac:dyDescent="0.2">
      <c r="A20" s="42"/>
      <c r="B20" s="154"/>
    </row>
    <row r="21" spans="1:4" s="23" customFormat="1" ht="15" x14ac:dyDescent="0.2">
      <c r="A21" s="42"/>
      <c r="B21" s="154"/>
    </row>
    <row r="22" spans="1:4" s="23" customFormat="1" ht="15" x14ac:dyDescent="0.2">
      <c r="A22" s="154"/>
    </row>
    <row r="23" spans="1:4" s="23" customFormat="1" ht="15" x14ac:dyDescent="0.2">
      <c r="A23" s="792"/>
      <c r="B23" s="793"/>
    </row>
    <row r="24" spans="1:4" s="23" customFormat="1" ht="15" customHeight="1" x14ac:dyDescent="0.2">
      <c r="A24" s="788"/>
      <c r="B24" s="788"/>
    </row>
    <row r="25" spans="1:4" s="23" customFormat="1" ht="15" x14ac:dyDescent="0.2">
      <c r="A25" s="788"/>
      <c r="B25" s="788"/>
    </row>
    <row r="26" spans="1:4" s="23" customFormat="1" ht="15" x14ac:dyDescent="0.2">
      <c r="A26" s="788"/>
      <c r="B26" s="788"/>
    </row>
    <row r="27" spans="1:4" s="23" customFormat="1" ht="15" x14ac:dyDescent="0.2">
      <c r="A27" s="154"/>
      <c r="B27" s="154"/>
    </row>
  </sheetData>
  <mergeCells count="8">
    <mergeCell ref="A25:B25"/>
    <mergeCell ref="A26:B26"/>
    <mergeCell ref="B1:C1"/>
    <mergeCell ref="B2:C2"/>
    <mergeCell ref="B7:C7"/>
    <mergeCell ref="B17:D17"/>
    <mergeCell ref="A23:B23"/>
    <mergeCell ref="A24:B24"/>
  </mergeCells>
  <pageMargins left="0.7" right="0.7" top="0.75" bottom="0.75" header="0.3" footer="0.3"/>
  <pageSetup paperSize="9"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opLeftCell="A7" workbookViewId="0">
      <selection activeCell="C16" sqref="C16"/>
    </sheetView>
  </sheetViews>
  <sheetFormatPr defaultRowHeight="12.75" x14ac:dyDescent="0.2"/>
  <cols>
    <col min="1" max="1" width="3.7109375" customWidth="1"/>
    <col min="2" max="2" width="39.5703125" customWidth="1"/>
    <col min="3" max="3" width="24" customWidth="1"/>
    <col min="4" max="4" width="14.85546875" customWidth="1"/>
    <col min="5" max="5" width="13.7109375" customWidth="1"/>
  </cols>
  <sheetData>
    <row r="1" spans="1:4" s="24" customFormat="1" ht="15" x14ac:dyDescent="0.2">
      <c r="B1" s="886" t="s">
        <v>125</v>
      </c>
      <c r="C1" s="886"/>
    </row>
    <row r="2" spans="1:4" s="24" customFormat="1" ht="15" x14ac:dyDescent="0.2">
      <c r="B2" s="801" t="s">
        <v>124</v>
      </c>
      <c r="C2" s="801"/>
    </row>
    <row r="3" spans="1:4" s="24" customFormat="1" ht="15" x14ac:dyDescent="0.2"/>
    <row r="4" spans="1:4" s="24" customFormat="1" ht="15" x14ac:dyDescent="0.2"/>
    <row r="5" spans="1:4" s="24" customFormat="1" ht="15" x14ac:dyDescent="0.2"/>
    <row r="6" spans="1:4" ht="15.75" x14ac:dyDescent="0.25">
      <c r="A6" s="10"/>
      <c r="B6" s="10"/>
    </row>
    <row r="7" spans="1:4" ht="48" customHeight="1" x14ac:dyDescent="0.2">
      <c r="A7" s="11"/>
      <c r="B7" s="787" t="s">
        <v>3903</v>
      </c>
      <c r="C7" s="787"/>
      <c r="D7" s="25"/>
    </row>
    <row r="8" spans="1:4" x14ac:dyDescent="0.2">
      <c r="A8" s="12"/>
      <c r="B8" s="12"/>
    </row>
    <row r="9" spans="1:4" s="53" customFormat="1" ht="31.15" customHeight="1" x14ac:dyDescent="0.2">
      <c r="A9" s="51" t="s">
        <v>122</v>
      </c>
      <c r="B9" s="51" t="s">
        <v>3900</v>
      </c>
      <c r="C9" s="52" t="s">
        <v>3901</v>
      </c>
    </row>
    <row r="10" spans="1:4" s="56" customFormat="1" ht="11.25" x14ac:dyDescent="0.2">
      <c r="A10" s="54">
        <v>1</v>
      </c>
      <c r="B10" s="55">
        <v>2</v>
      </c>
      <c r="C10" s="54">
        <v>3</v>
      </c>
    </row>
    <row r="11" spans="1:4" s="59" customFormat="1" ht="24.6" customHeight="1" x14ac:dyDescent="0.2">
      <c r="A11" s="57">
        <v>1</v>
      </c>
      <c r="B11" s="175" t="s">
        <v>3921</v>
      </c>
      <c r="C11" s="60">
        <v>2</v>
      </c>
    </row>
    <row r="12" spans="1:4" s="59" customFormat="1" ht="24.6" customHeight="1" x14ac:dyDescent="0.2">
      <c r="A12" s="57">
        <v>2</v>
      </c>
      <c r="B12" s="175" t="s">
        <v>3922</v>
      </c>
      <c r="C12" s="60">
        <v>2</v>
      </c>
    </row>
    <row r="13" spans="1:4" s="59" customFormat="1" ht="24.6" customHeight="1" x14ac:dyDescent="0.2">
      <c r="A13" s="57">
        <v>3</v>
      </c>
      <c r="B13" s="175" t="s">
        <v>3923</v>
      </c>
      <c r="C13" s="60">
        <v>2</v>
      </c>
    </row>
    <row r="14" spans="1:4" s="59" customFormat="1" ht="24.6" customHeight="1" x14ac:dyDescent="0.2">
      <c r="A14" s="57">
        <v>4</v>
      </c>
      <c r="B14" s="58" t="s">
        <v>3924</v>
      </c>
      <c r="C14" s="60">
        <v>2</v>
      </c>
    </row>
    <row r="15" spans="1:4" s="59" customFormat="1" ht="24.6" customHeight="1" x14ac:dyDescent="0.2">
      <c r="A15" s="57">
        <v>5</v>
      </c>
      <c r="B15" s="58" t="s">
        <v>3925</v>
      </c>
      <c r="C15" s="60">
        <v>2</v>
      </c>
    </row>
    <row r="16" spans="1:4" x14ac:dyDescent="0.2">
      <c r="A16" s="38"/>
      <c r="B16" s="38"/>
      <c r="C16" s="38"/>
    </row>
    <row r="17" spans="1:4" ht="15" x14ac:dyDescent="0.2">
      <c r="B17" s="791" t="s">
        <v>3847</v>
      </c>
      <c r="C17" s="791"/>
      <c r="D17" s="791"/>
    </row>
    <row r="18" spans="1:4" s="23" customFormat="1" ht="17.25" customHeight="1" x14ac:dyDescent="0.2">
      <c r="A18" s="21"/>
    </row>
    <row r="19" spans="1:4" s="23" customFormat="1" ht="18" customHeight="1" x14ac:dyDescent="0.2">
      <c r="A19" s="42"/>
      <c r="B19" s="25"/>
    </row>
    <row r="20" spans="1:4" s="23" customFormat="1" ht="15" x14ac:dyDescent="0.2">
      <c r="A20" s="42"/>
      <c r="B20" s="154"/>
    </row>
    <row r="21" spans="1:4" s="23" customFormat="1" ht="15" x14ac:dyDescent="0.2">
      <c r="A21" s="42"/>
      <c r="B21" s="154"/>
    </row>
    <row r="22" spans="1:4" s="23" customFormat="1" ht="15" x14ac:dyDescent="0.2">
      <c r="A22" s="154"/>
    </row>
    <row r="23" spans="1:4" s="23" customFormat="1" ht="15" x14ac:dyDescent="0.2">
      <c r="A23" s="792"/>
      <c r="B23" s="793"/>
    </row>
    <row r="24" spans="1:4" s="23" customFormat="1" ht="15" customHeight="1" x14ac:dyDescent="0.2">
      <c r="A24" s="788"/>
      <c r="B24" s="788"/>
    </row>
    <row r="25" spans="1:4" s="23" customFormat="1" ht="15" x14ac:dyDescent="0.2">
      <c r="A25" s="788"/>
      <c r="B25" s="788"/>
    </row>
    <row r="26" spans="1:4" s="23" customFormat="1" ht="15" x14ac:dyDescent="0.2">
      <c r="A26" s="788"/>
      <c r="B26" s="788"/>
    </row>
    <row r="27" spans="1:4" s="23" customFormat="1" ht="15" x14ac:dyDescent="0.2">
      <c r="A27" s="154"/>
      <c r="B27" s="154"/>
    </row>
  </sheetData>
  <mergeCells count="8">
    <mergeCell ref="A25:B25"/>
    <mergeCell ref="A26:B26"/>
    <mergeCell ref="B1:C1"/>
    <mergeCell ref="B2:C2"/>
    <mergeCell ref="B7:C7"/>
    <mergeCell ref="B17:D17"/>
    <mergeCell ref="A23:B23"/>
    <mergeCell ref="A24:B24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B7" sqref="B7:C7"/>
    </sheetView>
  </sheetViews>
  <sheetFormatPr defaultRowHeight="12.75" x14ac:dyDescent="0.2"/>
  <cols>
    <col min="1" max="1" width="3.7109375" customWidth="1"/>
    <col min="2" max="2" width="39.5703125" customWidth="1"/>
    <col min="3" max="3" width="24" customWidth="1"/>
    <col min="4" max="4" width="14.85546875" customWidth="1"/>
    <col min="5" max="5" width="13.7109375" customWidth="1"/>
  </cols>
  <sheetData>
    <row r="1" spans="1:4" s="24" customFormat="1" ht="15" x14ac:dyDescent="0.2">
      <c r="B1" s="886" t="s">
        <v>125</v>
      </c>
      <c r="C1" s="886"/>
    </row>
    <row r="2" spans="1:4" s="24" customFormat="1" ht="15" x14ac:dyDescent="0.2">
      <c r="B2" s="801" t="s">
        <v>124</v>
      </c>
      <c r="C2" s="801"/>
    </row>
    <row r="3" spans="1:4" s="24" customFormat="1" ht="15" x14ac:dyDescent="0.2"/>
    <row r="4" spans="1:4" s="24" customFormat="1" ht="15" x14ac:dyDescent="0.2"/>
    <row r="5" spans="1:4" s="24" customFormat="1" ht="15" x14ac:dyDescent="0.2"/>
    <row r="6" spans="1:4" ht="15.75" x14ac:dyDescent="0.25">
      <c r="A6" s="10"/>
      <c r="B6" s="10"/>
    </row>
    <row r="7" spans="1:4" ht="48" customHeight="1" x14ac:dyDescent="0.2">
      <c r="A7" s="11"/>
      <c r="B7" s="787" t="s">
        <v>3905</v>
      </c>
      <c r="C7" s="787"/>
      <c r="D7" s="25"/>
    </row>
    <row r="8" spans="1:4" x14ac:dyDescent="0.2">
      <c r="A8" s="12"/>
      <c r="B8" s="12"/>
    </row>
    <row r="9" spans="1:4" s="53" customFormat="1" ht="31.15" customHeight="1" x14ac:dyDescent="0.2">
      <c r="A9" s="51" t="s">
        <v>122</v>
      </c>
      <c r="B9" s="51" t="s">
        <v>3900</v>
      </c>
      <c r="C9" s="52" t="s">
        <v>3901</v>
      </c>
    </row>
    <row r="10" spans="1:4" s="56" customFormat="1" ht="11.25" x14ac:dyDescent="0.2">
      <c r="A10" s="54">
        <v>1</v>
      </c>
      <c r="B10" s="55">
        <v>2</v>
      </c>
      <c r="C10" s="54">
        <v>3</v>
      </c>
    </row>
    <row r="11" spans="1:4" s="59" customFormat="1" ht="24.6" customHeight="1" x14ac:dyDescent="0.2">
      <c r="A11" s="57">
        <v>1</v>
      </c>
      <c r="B11" s="175" t="s">
        <v>3921</v>
      </c>
      <c r="C11" s="60">
        <v>2</v>
      </c>
    </row>
    <row r="12" spans="1:4" s="59" customFormat="1" ht="24.6" customHeight="1" x14ac:dyDescent="0.2">
      <c r="A12" s="57">
        <v>2</v>
      </c>
      <c r="B12" s="175" t="s">
        <v>3922</v>
      </c>
      <c r="C12" s="60">
        <v>2</v>
      </c>
    </row>
    <row r="13" spans="1:4" s="59" customFormat="1" ht="24.6" customHeight="1" x14ac:dyDescent="0.2">
      <c r="A13" s="57">
        <v>3</v>
      </c>
      <c r="B13" s="175" t="s">
        <v>3923</v>
      </c>
      <c r="C13" s="60">
        <v>2</v>
      </c>
    </row>
    <row r="14" spans="1:4" x14ac:dyDescent="0.2">
      <c r="A14" s="38"/>
      <c r="B14" s="38"/>
      <c r="C14" s="38"/>
    </row>
    <row r="15" spans="1:4" ht="15" x14ac:dyDescent="0.2">
      <c r="B15" s="791" t="s">
        <v>3847</v>
      </c>
      <c r="C15" s="791"/>
      <c r="D15" s="791"/>
    </row>
    <row r="16" spans="1:4" s="23" customFormat="1" ht="17.25" customHeight="1" x14ac:dyDescent="0.2">
      <c r="A16" s="21"/>
    </row>
    <row r="17" spans="1:2" s="23" customFormat="1" ht="18" customHeight="1" x14ac:dyDescent="0.2">
      <c r="A17" s="42"/>
      <c r="B17" s="25"/>
    </row>
    <row r="18" spans="1:2" s="23" customFormat="1" ht="15" x14ac:dyDescent="0.2">
      <c r="A18" s="42"/>
      <c r="B18" s="154"/>
    </row>
    <row r="19" spans="1:2" s="23" customFormat="1" ht="15" x14ac:dyDescent="0.2">
      <c r="A19" s="42"/>
      <c r="B19" s="154"/>
    </row>
    <row r="20" spans="1:2" s="23" customFormat="1" ht="15" x14ac:dyDescent="0.2">
      <c r="A20" s="154"/>
    </row>
    <row r="21" spans="1:2" s="23" customFormat="1" ht="15" x14ac:dyDescent="0.2">
      <c r="A21" s="792"/>
      <c r="B21" s="793"/>
    </row>
    <row r="22" spans="1:2" s="23" customFormat="1" ht="15" customHeight="1" x14ac:dyDescent="0.2">
      <c r="A22" s="788"/>
      <c r="B22" s="788"/>
    </row>
    <row r="23" spans="1:2" s="23" customFormat="1" ht="15" x14ac:dyDescent="0.2">
      <c r="A23" s="788"/>
      <c r="B23" s="788"/>
    </row>
    <row r="24" spans="1:2" s="23" customFormat="1" ht="15" x14ac:dyDescent="0.2">
      <c r="A24" s="788"/>
      <c r="B24" s="788"/>
    </row>
    <row r="25" spans="1:2" s="23" customFormat="1" ht="15" x14ac:dyDescent="0.2">
      <c r="A25" s="154"/>
      <c r="B25" s="154"/>
    </row>
  </sheetData>
  <mergeCells count="8">
    <mergeCell ref="A23:B23"/>
    <mergeCell ref="A24:B24"/>
    <mergeCell ref="B1:C1"/>
    <mergeCell ref="B2:C2"/>
    <mergeCell ref="B7:C7"/>
    <mergeCell ref="B15:D15"/>
    <mergeCell ref="A21:B21"/>
    <mergeCell ref="A22:B2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24"/>
  <sheetViews>
    <sheetView workbookViewId="0">
      <selection activeCell="J19" sqref="J19"/>
    </sheetView>
  </sheetViews>
  <sheetFormatPr defaultRowHeight="12.75" x14ac:dyDescent="0.2"/>
  <cols>
    <col min="1" max="1" width="3.7109375" customWidth="1"/>
    <col min="2" max="2" width="26" customWidth="1"/>
    <col min="3" max="3" width="12.28515625" customWidth="1"/>
    <col min="4" max="4" width="11.140625" customWidth="1"/>
    <col min="5" max="5" width="13.42578125" customWidth="1"/>
    <col min="6" max="6" width="12.28515625" customWidth="1"/>
    <col min="7" max="7" width="10.7109375" customWidth="1"/>
    <col min="8" max="8" width="11.5703125" customWidth="1"/>
    <col min="9" max="9" width="14.85546875" customWidth="1"/>
    <col min="10" max="10" width="13.7109375" customWidth="1"/>
    <col min="12" max="12" width="11" customWidth="1"/>
  </cols>
  <sheetData>
    <row r="1" spans="1:10" s="24" customFormat="1" ht="15" x14ac:dyDescent="0.2">
      <c r="C1" s="80"/>
      <c r="D1" s="80"/>
      <c r="E1" s="80"/>
      <c r="F1" s="80"/>
      <c r="G1" s="252"/>
      <c r="H1" s="801" t="s">
        <v>4570</v>
      </c>
      <c r="I1" s="801"/>
      <c r="J1" s="801"/>
    </row>
    <row r="2" spans="1:10" s="24" customFormat="1" ht="15" x14ac:dyDescent="0.2">
      <c r="C2" s="80"/>
      <c r="D2" s="80"/>
      <c r="E2" s="80"/>
      <c r="F2" s="80"/>
      <c r="G2" s="252"/>
      <c r="H2" s="786" t="s">
        <v>4586</v>
      </c>
      <c r="I2" s="786"/>
      <c r="J2" s="786"/>
    </row>
    <row r="3" spans="1:10" s="24" customFormat="1" ht="15" x14ac:dyDescent="0.2"/>
    <row r="4" spans="1:10" s="24" customFormat="1" ht="15" x14ac:dyDescent="0.2"/>
    <row r="5" spans="1:10" s="24" customFormat="1" ht="15" x14ac:dyDescent="0.2"/>
    <row r="6" spans="1:10" ht="15.75" x14ac:dyDescent="0.25">
      <c r="A6" s="10"/>
      <c r="B6" s="10"/>
      <c r="C6" s="10"/>
      <c r="D6" s="10"/>
      <c r="E6" s="10"/>
    </row>
    <row r="7" spans="1:10" ht="46.5" customHeight="1" x14ac:dyDescent="0.2">
      <c r="A7" s="823" t="s">
        <v>3829</v>
      </c>
      <c r="B7" s="823"/>
      <c r="C7" s="823"/>
      <c r="D7" s="823"/>
      <c r="E7" s="823"/>
      <c r="F7" s="823"/>
      <c r="G7" s="823"/>
      <c r="H7" s="823"/>
      <c r="I7" s="823"/>
      <c r="J7" s="823"/>
    </row>
    <row r="8" spans="1:10" x14ac:dyDescent="0.2">
      <c r="A8" s="12"/>
      <c r="B8" s="12"/>
      <c r="C8" s="12"/>
      <c r="D8" s="12"/>
      <c r="E8" s="12"/>
    </row>
    <row r="9" spans="1:10" s="53" customFormat="1" ht="105" customHeight="1" x14ac:dyDescent="0.2">
      <c r="A9" s="51" t="s">
        <v>122</v>
      </c>
      <c r="B9" s="51" t="s">
        <v>3805</v>
      </c>
      <c r="C9" s="51" t="s">
        <v>3808</v>
      </c>
      <c r="D9" s="51" t="s">
        <v>3809</v>
      </c>
      <c r="E9" s="51" t="s">
        <v>3810</v>
      </c>
      <c r="F9" s="457" t="s">
        <v>3811</v>
      </c>
      <c r="G9" s="291" t="s">
        <v>4369</v>
      </c>
      <c r="H9" s="291" t="s">
        <v>4359</v>
      </c>
      <c r="I9" s="291" t="s">
        <v>4360</v>
      </c>
      <c r="J9" s="69" t="s">
        <v>3828</v>
      </c>
    </row>
    <row r="10" spans="1:10" s="56" customFormat="1" ht="11.25" x14ac:dyDescent="0.2">
      <c r="A10" s="54">
        <v>1</v>
      </c>
      <c r="B10" s="55">
        <v>2</v>
      </c>
      <c r="C10" s="54">
        <v>3</v>
      </c>
      <c r="D10" s="55">
        <v>4</v>
      </c>
      <c r="E10" s="54">
        <v>5</v>
      </c>
      <c r="F10" s="55">
        <v>6</v>
      </c>
      <c r="G10" s="54">
        <v>7</v>
      </c>
      <c r="H10" s="55">
        <v>8</v>
      </c>
      <c r="I10" s="54">
        <v>9</v>
      </c>
      <c r="J10" s="54">
        <v>10</v>
      </c>
    </row>
    <row r="11" spans="1:10" s="59" customFormat="1" ht="53.45" customHeight="1" x14ac:dyDescent="0.2">
      <c r="A11" s="57">
        <v>1</v>
      </c>
      <c r="B11" s="58" t="s">
        <v>3807</v>
      </c>
      <c r="C11" s="58">
        <v>4</v>
      </c>
      <c r="D11" s="58">
        <v>12</v>
      </c>
      <c r="E11" s="58">
        <v>5</v>
      </c>
      <c r="F11" s="60">
        <f>C11*D11*(1/E11)</f>
        <v>9.6000000000000014</v>
      </c>
      <c r="G11" s="575">
        <v>74</v>
      </c>
      <c r="H11" s="134">
        <v>1</v>
      </c>
      <c r="I11" s="134">
        <f>G11*H11</f>
        <v>74</v>
      </c>
      <c r="J11" s="134"/>
    </row>
    <row r="12" spans="1:10" s="59" customFormat="1" ht="60.6" customHeight="1" x14ac:dyDescent="0.2">
      <c r="A12" s="57">
        <v>2</v>
      </c>
      <c r="B12" s="58" t="s">
        <v>3806</v>
      </c>
      <c r="C12" s="58">
        <v>2</v>
      </c>
      <c r="D12" s="58">
        <v>12</v>
      </c>
      <c r="E12" s="58">
        <v>5</v>
      </c>
      <c r="F12" s="60">
        <f>C12*D12*(1/E12)</f>
        <v>4.8000000000000007</v>
      </c>
      <c r="G12" s="575">
        <v>52</v>
      </c>
      <c r="H12" s="134">
        <v>1</v>
      </c>
      <c r="I12" s="134">
        <f>G12*H12</f>
        <v>52</v>
      </c>
      <c r="J12" s="134"/>
    </row>
    <row r="13" spans="1:10" s="127" customFormat="1" x14ac:dyDescent="0.2">
      <c r="A13" s="524"/>
      <c r="B13" s="524" t="s">
        <v>3825</v>
      </c>
      <c r="C13" s="524"/>
      <c r="D13" s="524"/>
      <c r="E13" s="524"/>
      <c r="F13" s="524"/>
      <c r="G13" s="524"/>
      <c r="H13" s="524"/>
      <c r="I13" s="126"/>
      <c r="J13" s="126">
        <f>SUM(J11:J12)</f>
        <v>0</v>
      </c>
    </row>
    <row r="15" spans="1:10" s="23" customFormat="1" ht="17.25" customHeight="1" x14ac:dyDescent="0.2">
      <c r="A15" s="21"/>
    </row>
    <row r="16" spans="1:10" s="23" customFormat="1" ht="18" customHeight="1" x14ac:dyDescent="0.2">
      <c r="A16" s="42"/>
      <c r="B16" s="25"/>
      <c r="C16" s="25"/>
      <c r="D16" s="25"/>
      <c r="E16" s="25"/>
    </row>
    <row r="17" spans="1:5" s="23" customFormat="1" ht="15" x14ac:dyDescent="0.2">
      <c r="A17" s="42"/>
      <c r="B17" s="123"/>
      <c r="C17" s="123"/>
      <c r="D17" s="123"/>
      <c r="E17" s="123"/>
    </row>
    <row r="18" spans="1:5" s="23" customFormat="1" ht="15" x14ac:dyDescent="0.2">
      <c r="A18" s="42"/>
      <c r="B18" s="123"/>
      <c r="C18" s="123"/>
      <c r="D18" s="123"/>
      <c r="E18" s="123"/>
    </row>
    <row r="19" spans="1:5" s="23" customFormat="1" ht="15" x14ac:dyDescent="0.2">
      <c r="A19" s="123"/>
    </row>
    <row r="20" spans="1:5" s="23" customFormat="1" ht="15" x14ac:dyDescent="0.2">
      <c r="A20" s="792"/>
      <c r="B20" s="793"/>
      <c r="C20" s="124"/>
      <c r="D20" s="124"/>
      <c r="E20" s="124"/>
    </row>
    <row r="21" spans="1:5" s="23" customFormat="1" ht="15" customHeight="1" x14ac:dyDescent="0.2">
      <c r="A21" s="788"/>
      <c r="B21" s="788"/>
      <c r="C21" s="123"/>
      <c r="D21" s="123"/>
      <c r="E21" s="123"/>
    </row>
    <row r="22" spans="1:5" s="23" customFormat="1" ht="15" x14ac:dyDescent="0.2">
      <c r="A22" s="788"/>
      <c r="B22" s="788"/>
      <c r="C22" s="123"/>
      <c r="D22" s="123"/>
      <c r="E22" s="123"/>
    </row>
    <row r="23" spans="1:5" s="23" customFormat="1" ht="15" x14ac:dyDescent="0.2">
      <c r="A23" s="788"/>
      <c r="B23" s="788"/>
      <c r="C23" s="123"/>
      <c r="D23" s="123"/>
      <c r="E23" s="123"/>
    </row>
    <row r="24" spans="1:5" s="23" customFormat="1" ht="15" x14ac:dyDescent="0.2">
      <c r="A24" s="123"/>
      <c r="B24" s="123"/>
      <c r="C24" s="123"/>
      <c r="D24" s="123"/>
      <c r="E24" s="123"/>
    </row>
  </sheetData>
  <mergeCells count="7">
    <mergeCell ref="H1:J1"/>
    <mergeCell ref="H2:J2"/>
    <mergeCell ref="A7:J7"/>
    <mergeCell ref="A23:B23"/>
    <mergeCell ref="A20:B20"/>
    <mergeCell ref="A21:B21"/>
    <mergeCell ref="A22:B22"/>
  </mergeCells>
  <pageMargins left="0.70866141732283472" right="0.35433070866141736" top="0.6692913385826772" bottom="0.98425196850393704" header="0.31496062992125984" footer="0.51181102362204722"/>
  <pageSetup paperSize="9" orientation="landscape" r:id="rId1"/>
  <headerFooter alignWithMargins="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90</vt:i4>
      </vt:variant>
      <vt:variant>
        <vt:lpstr>Именованные диапазоны</vt:lpstr>
      </vt:variant>
      <vt:variant>
        <vt:i4>28</vt:i4>
      </vt:variant>
    </vt:vector>
  </HeadingPairs>
  <TitlesOfParts>
    <vt:vector size="118" baseType="lpstr">
      <vt:lpstr>Прилож. нормативы</vt:lpstr>
      <vt:lpstr>питание</vt:lpstr>
      <vt:lpstr>211сады</vt:lpstr>
      <vt:lpstr>211 школа</vt:lpstr>
      <vt:lpstr>211 цд и ют</vt:lpstr>
      <vt:lpstr>211 цд и ют (2)</vt:lpstr>
      <vt:lpstr>211 дюсш</vt:lpstr>
      <vt:lpstr>211 дюсш (2)</vt:lpstr>
      <vt:lpstr>маршрут (212)</vt:lpstr>
      <vt:lpstr>доу 221</vt:lpstr>
      <vt:lpstr>школ 221</vt:lpstr>
      <vt:lpstr>доп.обр 221</vt:lpstr>
      <vt:lpstr>вода (223)</vt:lpstr>
      <vt:lpstr>тепло (223)</vt:lpstr>
      <vt:lpstr>свет (223)</vt:lpstr>
      <vt:lpstr>ТБО (223)</vt:lpstr>
      <vt:lpstr>Аренда помещений (224)</vt:lpstr>
      <vt:lpstr>Аренда контейнера (225)</vt:lpstr>
      <vt:lpstr>дератиз (225)</vt:lpstr>
      <vt:lpstr>ТО здан</vt:lpstr>
      <vt:lpstr>ТО здан (225)</vt:lpstr>
      <vt:lpstr>ТО бассейн (225)</vt:lpstr>
      <vt:lpstr>ТО столов. оборуд. доу (225)</vt:lpstr>
      <vt:lpstr>ТО столов. оборуд. шк. (225)</vt:lpstr>
      <vt:lpstr>ТО АПС (225)</vt:lpstr>
      <vt:lpstr>ТО прач.обор. (225)</vt:lpstr>
      <vt:lpstr>ТО КТС (225)</vt:lpstr>
      <vt:lpstr>ТО узел учета (225)</vt:lpstr>
      <vt:lpstr>ТО комп.техн. (225)</vt:lpstr>
      <vt:lpstr>ТО видеонаблюд (225)</vt:lpstr>
      <vt:lpstr>ТО домофон (225)</vt:lpstr>
      <vt:lpstr>Опиловка  (225)</vt:lpstr>
      <vt:lpstr>РСО доу-внешк (225)</vt:lpstr>
      <vt:lpstr>РСО шк. (225)</vt:lpstr>
      <vt:lpstr>СЭС доу (225)</vt:lpstr>
      <vt:lpstr>СЭС внешк. (225)</vt:lpstr>
      <vt:lpstr>СЭС шк. (225)</vt:lpstr>
      <vt:lpstr>ДЮСШ спорт 226 тренера</vt:lpstr>
      <vt:lpstr>канц.товар (341)</vt:lpstr>
      <vt:lpstr>ДЮСШ спорт 226 спот-ны</vt:lpstr>
      <vt:lpstr>охрана (226 2024г)</vt:lpstr>
      <vt:lpstr>ДЮСШ спорт 226 чл. взносы</vt:lpstr>
      <vt:lpstr>охрана 226 </vt:lpstr>
      <vt:lpstr>мед.осмотры (226)</vt:lpstr>
      <vt:lpstr>подписка ДОУ (226)</vt:lpstr>
      <vt:lpstr>подписка шк (226)</vt:lpstr>
      <vt:lpstr>лицензия (226)</vt:lpstr>
      <vt:lpstr>подписка доп.образ (226)</vt:lpstr>
      <vt:lpstr>архивац. доу(226)</vt:lpstr>
      <vt:lpstr>архивац.шк. (226)</vt:lpstr>
      <vt:lpstr>эл.подпис (226)</vt:lpstr>
      <vt:lpstr>обучение сотр.(226)</vt:lpstr>
      <vt:lpstr>неисключ.права по исп.сай (226)</vt:lpstr>
      <vt:lpstr>питание (226) аутс</vt:lpstr>
      <vt:lpstr>питание (226) аутс26</vt:lpstr>
      <vt:lpstr>питание (226) аутс (льг)</vt:lpstr>
      <vt:lpstr>питание (226) аутс (льг) (25)</vt:lpstr>
      <vt:lpstr>налоги Имущ (290)</vt:lpstr>
      <vt:lpstr>налоги Имущ (по уч.)</vt:lpstr>
      <vt:lpstr>оборудов. шк. (310)</vt:lpstr>
      <vt:lpstr>оборудов. сад образоват.(310)</vt:lpstr>
      <vt:lpstr>оборудов. сад содерж (310)</vt:lpstr>
      <vt:lpstr>оборудов доп. обр. (310)</vt:lpstr>
      <vt:lpstr>питание (340)</vt:lpstr>
      <vt:lpstr>хозы.</vt:lpstr>
      <vt:lpstr>посуда сад-шк (340)</vt:lpstr>
      <vt:lpstr>хозы. (340)</vt:lpstr>
      <vt:lpstr>мягкий инвентарь</vt:lpstr>
      <vt:lpstr>мягк.инвент (340)</vt:lpstr>
      <vt:lpstr>свет</vt:lpstr>
      <vt:lpstr>вода</vt:lpstr>
      <vt:lpstr>теплоэнергия</vt:lpstr>
      <vt:lpstr>маршрутный лист</vt:lpstr>
      <vt:lpstr>канц.товары</vt:lpstr>
      <vt:lpstr>канц.товар (340)</vt:lpstr>
      <vt:lpstr>медикаменты</vt:lpstr>
      <vt:lpstr>строит. мат. (340)</vt:lpstr>
      <vt:lpstr>медикамент (340)</vt:lpstr>
      <vt:lpstr>посуда (сады школы)</vt:lpstr>
      <vt:lpstr>оборудование школы</vt:lpstr>
      <vt:lpstr>оборудование сады</vt:lpstr>
      <vt:lpstr>оборудование школы искусств</vt:lpstr>
      <vt:lpstr>оборудование ДЮСШ</vt:lpstr>
      <vt:lpstr>приложение к оборудование РФ</vt:lpstr>
      <vt:lpstr>оборудование ДЮСШ (2)</vt:lpstr>
      <vt:lpstr>мед.осмотры</vt:lpstr>
      <vt:lpstr>подписка сады</vt:lpstr>
      <vt:lpstr>подписка школы</vt:lpstr>
      <vt:lpstr>подписка доп.образование</vt:lpstr>
      <vt:lpstr>зарплата</vt:lpstr>
      <vt:lpstr>'Аренда контейнера (225)'!Область_печати</vt:lpstr>
      <vt:lpstr>вода!Область_печати</vt:lpstr>
      <vt:lpstr>'вода (223)'!Область_печати</vt:lpstr>
      <vt:lpstr>'доп.обр 221'!Область_печати</vt:lpstr>
      <vt:lpstr>'доу 221'!Область_печати</vt:lpstr>
      <vt:lpstr>'ДЮСШ спорт 226 спот-ны'!Область_печати</vt:lpstr>
      <vt:lpstr>'ДЮСШ спорт 226 тренера'!Область_печати</vt:lpstr>
      <vt:lpstr>'ДЮСШ спорт 226 чл. взносы'!Область_печати</vt:lpstr>
      <vt:lpstr>'канц.товар (340)'!Область_печати</vt:lpstr>
      <vt:lpstr>'канц.товар (341)'!Область_печати</vt:lpstr>
      <vt:lpstr>канц.товары!Область_печати</vt:lpstr>
      <vt:lpstr>'маршрут (212)'!Область_печати</vt:lpstr>
      <vt:lpstr>'маршрутный лист'!Область_печати</vt:lpstr>
      <vt:lpstr>медикаменты!Область_печати</vt:lpstr>
      <vt:lpstr>'мягк.инвент (340)'!Область_печати</vt:lpstr>
      <vt:lpstr>'мягкий инвентарь'!Область_печати</vt:lpstr>
      <vt:lpstr>'налоги Имущ (290)'!Область_печати</vt:lpstr>
      <vt:lpstr>'налоги Имущ (по уч.)'!Область_печати</vt:lpstr>
      <vt:lpstr>'оборудов доп. обр. (310)'!Область_печати</vt:lpstr>
      <vt:lpstr>свет!Область_печати</vt:lpstr>
      <vt:lpstr>'свет (223)'!Область_печати</vt:lpstr>
      <vt:lpstr>'строит. мат. (340)'!Область_печати</vt:lpstr>
      <vt:lpstr>'ТБО (223)'!Область_печати</vt:lpstr>
      <vt:lpstr>'тепло (223)'!Область_печати</vt:lpstr>
      <vt:lpstr>теплоэнергия!Область_печати</vt:lpstr>
      <vt:lpstr>'ТО столов. оборуд. доу (225)'!Область_печати</vt:lpstr>
      <vt:lpstr>'хозы. (340)'!Область_печати</vt:lpstr>
      <vt:lpstr>'школ 221'!Область_печати</vt:lpstr>
    </vt:vector>
  </TitlesOfParts>
  <Company>DRONO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</dc:creator>
  <cp:lastModifiedBy>админ</cp:lastModifiedBy>
  <cp:lastPrinted>2025-10-14T07:24:05Z</cp:lastPrinted>
  <dcterms:created xsi:type="dcterms:W3CDTF">2010-01-20T12:51:01Z</dcterms:created>
  <dcterms:modified xsi:type="dcterms:W3CDTF">2025-11-01T13:45:46Z</dcterms:modified>
</cp:coreProperties>
</file>